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CONTROLE" sheetId="1" r:id="rId1"/>
    <sheet name="Planilha1" sheetId="4" r:id="rId2"/>
    <sheet name="ADM 16005.2019 - OUROMAR" sheetId="2" state="hidden" r:id="rId3"/>
    <sheet name="ADM 20054.2019 - ETE'S" sheetId="3" state="hidden" r:id="rId4"/>
  </sheets>
  <definedNames>
    <definedName name="_xlnm._FilterDatabase" localSheetId="0" hidden="1">CONTROLE!$A$5:$O$73</definedName>
    <definedName name="_xlnm.Print_Area" localSheetId="3">'ADM 20054.2019 - ETE''S'!$A$1:$I$25</definedName>
    <definedName name="_xlnm.Print_Area" localSheetId="0">CONTROLE!$A$1:$N$83</definedName>
    <definedName name="_xlnm.Print_Titles" localSheetId="0">CONTROLE!$5:$5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M64" i="1"/>
  <c r="M54" i="1"/>
  <c r="M51" i="1" l="1"/>
  <c r="J51" i="1"/>
  <c r="M49" i="1" l="1"/>
  <c r="M41" i="1" l="1"/>
  <c r="M36" i="1" l="1"/>
  <c r="D7" i="4"/>
  <c r="M35" i="1"/>
  <c r="J35" i="1"/>
  <c r="F35" i="1"/>
  <c r="M34" i="1" l="1"/>
  <c r="J34" i="1"/>
  <c r="M28" i="1" l="1"/>
  <c r="J28" i="1"/>
  <c r="M26" i="1" l="1"/>
  <c r="M17" i="1" l="1"/>
  <c r="N17" i="1" s="1"/>
  <c r="J17" i="1"/>
  <c r="M12" i="1" l="1"/>
  <c r="J12" i="1"/>
  <c r="M10" i="1" l="1"/>
  <c r="J64" i="1" l="1"/>
  <c r="M48" i="1" l="1"/>
  <c r="J48" i="1"/>
  <c r="M11" i="1" l="1"/>
  <c r="J11" i="1"/>
  <c r="N9" i="1" l="1"/>
  <c r="N10" i="1"/>
  <c r="J72" i="1" l="1"/>
  <c r="M59" i="1" l="1"/>
  <c r="J59" i="1"/>
  <c r="J41" i="1" l="1"/>
  <c r="K41" i="1" s="1"/>
  <c r="J26" i="1" l="1"/>
  <c r="J10" i="1" l="1"/>
  <c r="J54" i="1" l="1"/>
  <c r="F54" i="1"/>
  <c r="J49" i="1" l="1"/>
  <c r="J39" i="1" l="1"/>
  <c r="N20" i="1" l="1"/>
  <c r="J20" i="1"/>
  <c r="L20" i="1" s="1"/>
  <c r="K20" i="1" l="1"/>
  <c r="K28" i="1" l="1"/>
  <c r="N34" i="1" l="1"/>
  <c r="L34" i="1"/>
  <c r="K34" i="1"/>
  <c r="F11" i="1" l="1"/>
  <c r="J57" i="1" l="1"/>
  <c r="G7" i="4" l="1"/>
  <c r="N35" i="1" l="1"/>
  <c r="L35" i="1"/>
  <c r="K35" i="1" l="1"/>
  <c r="J67" i="1" l="1"/>
  <c r="N57" i="1" l="1"/>
  <c r="F49" i="1" l="1"/>
  <c r="F48" i="1" l="1"/>
  <c r="J69" i="1" l="1"/>
  <c r="F72" i="1" l="1"/>
  <c r="F64" i="1" l="1"/>
  <c r="F17" i="1" l="1"/>
  <c r="F39" i="1" l="1"/>
  <c r="N48" i="1"/>
  <c r="N64" i="1"/>
  <c r="N11" i="1" l="1"/>
  <c r="G13" i="4"/>
  <c r="N51" i="1" l="1"/>
  <c r="M45" i="1" l="1"/>
  <c r="M73" i="1" s="1"/>
  <c r="F45" i="1"/>
  <c r="N62" i="1" l="1"/>
  <c r="J62" i="1"/>
  <c r="F57" i="1" l="1"/>
  <c r="J56" i="1" l="1"/>
  <c r="J55" i="1" l="1"/>
  <c r="F47" i="1" l="1"/>
  <c r="J47" i="1"/>
  <c r="J46" i="1" l="1"/>
  <c r="N72" i="1" l="1"/>
  <c r="N47" i="1"/>
  <c r="K47" i="1"/>
  <c r="N41" i="1" l="1"/>
  <c r="L41" i="1"/>
  <c r="N26" i="1" l="1"/>
  <c r="L26" i="1"/>
  <c r="K26" i="1" l="1"/>
  <c r="K49" i="1" l="1"/>
  <c r="N49" i="1"/>
  <c r="L49" i="1" l="1"/>
  <c r="K59" i="1" l="1"/>
  <c r="N59" i="1"/>
  <c r="L59" i="1" l="1"/>
  <c r="N36" i="1"/>
  <c r="L36" i="1"/>
  <c r="K36" i="1" l="1"/>
  <c r="J9" i="1" l="1"/>
  <c r="K9" i="1" l="1"/>
  <c r="L9" i="1"/>
  <c r="F67" i="1" l="1"/>
  <c r="K67" i="1" s="1"/>
  <c r="N67" i="1" l="1"/>
  <c r="J18" i="1"/>
  <c r="L18" i="1" s="1"/>
  <c r="N18" i="1"/>
  <c r="K18" i="1" l="1"/>
  <c r="J14" i="1" l="1"/>
  <c r="K57" i="1" l="1"/>
  <c r="K51" i="1" l="1"/>
  <c r="F46" i="1" l="1"/>
  <c r="J45" i="1" l="1"/>
  <c r="L57" i="1" l="1"/>
  <c r="L48" i="1"/>
  <c r="L47" i="1"/>
  <c r="K48" i="1" l="1"/>
  <c r="N46" i="1" l="1"/>
  <c r="N45" i="1" l="1"/>
  <c r="N61" i="1" l="1"/>
  <c r="N56" i="1"/>
  <c r="N39" i="1"/>
  <c r="J25" i="1"/>
  <c r="N25" i="1" l="1"/>
  <c r="J61" i="1" l="1"/>
  <c r="N28" i="1" l="1"/>
  <c r="N37" i="1" l="1"/>
  <c r="N71" i="1"/>
  <c r="N70" i="1"/>
  <c r="N68" i="1"/>
  <c r="N66" i="1"/>
  <c r="N65" i="1"/>
  <c r="N58" i="1"/>
  <c r="N53" i="1"/>
  <c r="N52" i="1"/>
  <c r="N43" i="1"/>
  <c r="N42" i="1"/>
  <c r="N38" i="1"/>
  <c r="N33" i="1"/>
  <c r="N32" i="1"/>
  <c r="N31" i="1"/>
  <c r="N30" i="1"/>
  <c r="N29" i="1"/>
  <c r="N23" i="1"/>
  <c r="N22" i="1"/>
  <c r="N21" i="1"/>
  <c r="N19" i="1"/>
  <c r="N16" i="1"/>
  <c r="N13" i="1"/>
  <c r="N12" i="1"/>
  <c r="K72" i="1" l="1"/>
  <c r="N69" i="1" l="1"/>
  <c r="J63" i="1" l="1"/>
  <c r="N55" i="1" l="1"/>
  <c r="F40" i="1" l="1"/>
  <c r="J40" i="1"/>
  <c r="N40" i="1" l="1"/>
  <c r="N14" i="1" l="1"/>
  <c r="N54" i="1" l="1"/>
  <c r="L12" i="1" l="1"/>
  <c r="K12" i="1"/>
  <c r="K10" i="1" l="1"/>
  <c r="L10" i="1" l="1"/>
  <c r="L17" i="1" l="1"/>
  <c r="K17" i="1"/>
  <c r="J19" i="1"/>
  <c r="K19" i="1" s="1"/>
  <c r="L19" i="1" l="1"/>
  <c r="I73" i="1" l="1"/>
  <c r="L46" i="1"/>
  <c r="K46" i="1"/>
  <c r="L45" i="1" l="1"/>
  <c r="K45" i="1" l="1"/>
  <c r="L72" i="1" l="1"/>
  <c r="J8" i="1" l="1"/>
  <c r="O9" i="4" l="1"/>
  <c r="M9" i="4" l="1"/>
  <c r="N44" i="1"/>
  <c r="F62" i="1" l="1"/>
  <c r="F56" i="1" l="1"/>
  <c r="F55" i="1" l="1"/>
  <c r="L28" i="1" l="1"/>
  <c r="F14" i="1" l="1"/>
  <c r="F6" i="1" l="1"/>
  <c r="N27" i="1" l="1"/>
  <c r="J27" i="1"/>
  <c r="N50" i="1" l="1"/>
  <c r="J50" i="1"/>
  <c r="K54" i="1" l="1"/>
  <c r="L51" i="1" l="1"/>
  <c r="N24" i="1" l="1"/>
  <c r="J24" i="1"/>
  <c r="N63" i="1" l="1"/>
  <c r="F63" i="1" l="1"/>
  <c r="L63" i="1" s="1"/>
  <c r="K63" i="1" l="1"/>
  <c r="L62" i="1" l="1"/>
  <c r="N60" i="1"/>
  <c r="J60" i="1"/>
  <c r="K62" i="1" l="1"/>
  <c r="F58" i="1" l="1"/>
  <c r="F27" i="1" l="1"/>
  <c r="F25" i="1" l="1"/>
  <c r="L24" i="1" l="1"/>
  <c r="K24" i="1"/>
  <c r="F69" i="1" l="1"/>
  <c r="K69" i="1" s="1"/>
  <c r="F8" i="1" l="1"/>
  <c r="K8" i="1" s="1"/>
  <c r="J13" i="1" l="1"/>
  <c r="F13" i="1" l="1"/>
  <c r="K13" i="1" l="1"/>
  <c r="J53" i="1" l="1"/>
  <c r="J6" i="1"/>
  <c r="K39" i="1"/>
  <c r="K61" i="1" l="1"/>
  <c r="K64" i="1"/>
  <c r="N15" i="1" l="1"/>
  <c r="L67" i="1" l="1"/>
  <c r="J65" i="1" l="1"/>
  <c r="J15" i="1" l="1"/>
  <c r="J70" i="1" l="1"/>
  <c r="O60" i="1" l="1"/>
  <c r="O61" i="1" s="1"/>
  <c r="K60" i="1"/>
  <c r="J23" i="1" l="1"/>
  <c r="J7" i="1"/>
  <c r="F70" i="1" l="1"/>
  <c r="K70" i="1" s="1"/>
  <c r="J52" i="1" l="1"/>
  <c r="F23" i="1" l="1"/>
  <c r="J29" i="1" l="1"/>
  <c r="K27" i="1" l="1"/>
  <c r="K23" i="1" l="1"/>
  <c r="F53" i="1"/>
  <c r="J44" i="1" l="1"/>
  <c r="J37" i="1" l="1"/>
  <c r="F65" i="1" l="1"/>
  <c r="L27" i="1" l="1"/>
  <c r="C21" i="3" l="1"/>
  <c r="F21" i="3"/>
  <c r="G14" i="3" l="1"/>
  <c r="G15" i="3" s="1"/>
  <c r="G16" i="3" s="1"/>
  <c r="G17" i="3" s="1"/>
  <c r="G18" i="3" s="1"/>
  <c r="G19" i="3" s="1"/>
  <c r="G20" i="3" s="1"/>
  <c r="H14" i="3"/>
  <c r="H15" i="3" s="1"/>
  <c r="H16" i="3" s="1"/>
  <c r="H17" i="3" s="1"/>
  <c r="H18" i="3" s="1"/>
  <c r="H19" i="3" s="1"/>
  <c r="H20" i="3" s="1"/>
  <c r="F22" i="2" l="1"/>
  <c r="C22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H12" i="2"/>
  <c r="H13" i="2" s="1"/>
  <c r="H14" i="2" s="1"/>
  <c r="H15" i="2" s="1"/>
  <c r="H16" i="2" s="1"/>
  <c r="H17" i="2" s="1"/>
  <c r="H18" i="2" s="1"/>
  <c r="H19" i="2" s="1"/>
  <c r="H20" i="2" s="1"/>
  <c r="H21" i="2" s="1"/>
  <c r="K6" i="1" l="1"/>
  <c r="F15" i="1"/>
  <c r="F37" i="1" l="1"/>
  <c r="K68" i="1" l="1"/>
  <c r="K58" i="1"/>
  <c r="K56" i="1"/>
  <c r="K55" i="1"/>
  <c r="K50" i="1"/>
  <c r="K44" i="1"/>
  <c r="K43" i="1"/>
  <c r="K42" i="1"/>
  <c r="K40" i="1"/>
  <c r="K33" i="1"/>
  <c r="K32" i="1"/>
  <c r="K31" i="1"/>
  <c r="K29" i="1"/>
  <c r="K22" i="1"/>
  <c r="K21" i="1"/>
  <c r="K14" i="1"/>
  <c r="K37" i="1"/>
  <c r="L50" i="1" l="1"/>
  <c r="K53" i="1"/>
  <c r="K52" i="1"/>
  <c r="K25" i="1"/>
  <c r="K15" i="1"/>
  <c r="L8" i="1" l="1"/>
  <c r="L14" i="1"/>
  <c r="L68" i="1"/>
  <c r="L64" i="1" l="1"/>
  <c r="L60" i="1"/>
  <c r="F7" i="1" l="1"/>
  <c r="K7" i="1" l="1"/>
  <c r="L44" i="1" l="1"/>
  <c r="L69" i="1" l="1"/>
  <c r="L13" i="1" l="1"/>
  <c r="J66" i="1" l="1"/>
  <c r="J73" i="1" s="1"/>
  <c r="K66" i="1" l="1"/>
  <c r="L70" i="1"/>
  <c r="L21" i="1" l="1"/>
  <c r="K65" i="1"/>
  <c r="L7" i="1"/>
  <c r="L54" i="1" l="1"/>
  <c r="L6" i="1" l="1"/>
  <c r="N73" i="1" l="1"/>
  <c r="L61" i="1" l="1"/>
  <c r="L43" i="1" l="1"/>
  <c r="L66" i="1" l="1"/>
  <c r="L55" i="1" l="1"/>
  <c r="L56" i="1"/>
  <c r="L58" i="1"/>
  <c r="L33" i="1"/>
  <c r="L25" i="1" l="1"/>
  <c r="L40" i="1"/>
  <c r="L42" i="1"/>
  <c r="L23" i="1"/>
  <c r="L29" i="1"/>
  <c r="L31" i="1"/>
  <c r="L32" i="1"/>
  <c r="L15" i="1"/>
  <c r="L65" i="1"/>
  <c r="L22" i="1"/>
  <c r="L39" i="1"/>
  <c r="L37" i="1"/>
  <c r="L52" i="1"/>
  <c r="L53" i="1"/>
  <c r="F73" i="1"/>
  <c r="K11" i="1"/>
  <c r="L11" i="1"/>
  <c r="K73" i="1" l="1"/>
</calcChain>
</file>

<file path=xl/sharedStrings.xml><?xml version="1.0" encoding="utf-8"?>
<sst xmlns="http://schemas.openxmlformats.org/spreadsheetml/2006/main" count="492" uniqueCount="411">
  <si>
    <t>EMPRESA</t>
  </si>
  <si>
    <t>CONT.</t>
  </si>
  <si>
    <t>052/2020</t>
  </si>
  <si>
    <t>007/2020</t>
  </si>
  <si>
    <t>079/2020</t>
  </si>
  <si>
    <t>583/2018</t>
  </si>
  <si>
    <t>809/2018</t>
  </si>
  <si>
    <t>538/2018</t>
  </si>
  <si>
    <t>502/2018</t>
  </si>
  <si>
    <t>121/2020</t>
  </si>
  <si>
    <t>006/2020</t>
  </si>
  <si>
    <t>128/2019</t>
  </si>
  <si>
    <t>027/2020</t>
  </si>
  <si>
    <t>414/2018</t>
  </si>
  <si>
    <t>016/2018</t>
  </si>
  <si>
    <t>289/2018</t>
  </si>
  <si>
    <t>087/2019</t>
  </si>
  <si>
    <t>252/2017</t>
  </si>
  <si>
    <t>EMAM</t>
  </si>
  <si>
    <t>694/2018</t>
  </si>
  <si>
    <t>630/2018</t>
  </si>
  <si>
    <t>326/2018</t>
  </si>
  <si>
    <t>142/2013</t>
  </si>
  <si>
    <t>003/2018</t>
  </si>
  <si>
    <t>345/2018</t>
  </si>
  <si>
    <t>206/2018</t>
  </si>
  <si>
    <t>773/2018</t>
  </si>
  <si>
    <t>194/2014</t>
  </si>
  <si>
    <t>OBJETO</t>
  </si>
  <si>
    <t>SOMAS</t>
  </si>
  <si>
    <t>17/2020</t>
  </si>
  <si>
    <t>506/2018</t>
  </si>
  <si>
    <t>PROC. ADM</t>
  </si>
  <si>
    <t>16005/2019</t>
  </si>
  <si>
    <t>21707/2018</t>
  </si>
  <si>
    <t>11342/2018</t>
  </si>
  <si>
    <t>10553/2018</t>
  </si>
  <si>
    <t>27225/2017</t>
  </si>
  <si>
    <t>3167/2018</t>
  </si>
  <si>
    <t>1015/2018</t>
  </si>
  <si>
    <t>1300/2013</t>
  </si>
  <si>
    <t>15699/2014</t>
  </si>
  <si>
    <t>13578/2013</t>
  </si>
  <si>
    <t>705/2018</t>
  </si>
  <si>
    <t>4702/2018</t>
  </si>
  <si>
    <t>27732/2018</t>
  </si>
  <si>
    <t>558/2016</t>
  </si>
  <si>
    <t>905/2018</t>
  </si>
  <si>
    <t>21705/2018</t>
  </si>
  <si>
    <t>2748/2019</t>
  </si>
  <si>
    <t>26433/2017</t>
  </si>
  <si>
    <t>26668/2017</t>
  </si>
  <si>
    <t>12358/2018</t>
  </si>
  <si>
    <t>464/2018</t>
  </si>
  <si>
    <t>24019/2018</t>
  </si>
  <si>
    <t>1729/2018</t>
  </si>
  <si>
    <t>13054/2019</t>
  </si>
  <si>
    <t>12977/2019</t>
  </si>
  <si>
    <t>8776/2020</t>
  </si>
  <si>
    <t>COFRANZA</t>
  </si>
  <si>
    <t>CONSTRUTORA METROPOLITANA</t>
  </si>
  <si>
    <t>DUTRA E PINTO</t>
  </si>
  <si>
    <t>ENGEBIO ENGENHARIA DE MEIO AMBIENTE</t>
  </si>
  <si>
    <t>HIDROTÉCNICA ENGENHARIA LTDA</t>
  </si>
  <si>
    <t xml:space="preserve">HSR ENGENHARIA E CONSTRUÇÃO LTDA </t>
  </si>
  <si>
    <t xml:space="preserve">K8.COM ENGENHARIA E SERVIÇOS </t>
  </si>
  <si>
    <t>LGCONE CONSTRUÇÕES E EMPREENDIMENTOS</t>
  </si>
  <si>
    <t>MASTER COMERCIO E SERVIÇOS EIRELI</t>
  </si>
  <si>
    <t>OMEGA</t>
  </si>
  <si>
    <t>ONIX</t>
  </si>
  <si>
    <t>PREMAG</t>
  </si>
  <si>
    <t>PRIMOTECH</t>
  </si>
  <si>
    <t>PROCEC</t>
  </si>
  <si>
    <t>SAGA CONSTRUTORA</t>
  </si>
  <si>
    <t xml:space="preserve">SILGUI </t>
  </si>
  <si>
    <t>TECNIPAR</t>
  </si>
  <si>
    <t>UNICOL</t>
  </si>
  <si>
    <t>PAVIMENTAÇÃO E DRENAGEM DO LOTEAMENTO OUROMAR</t>
  </si>
  <si>
    <t>PAVIMENTAÇÃO E DRENAGEM DE DIVERSOS LOGRADOUROS DE JACONÉ</t>
  </si>
  <si>
    <t>AMPLIAÇÃO DO CEMITÉRIO</t>
  </si>
  <si>
    <t>FORNECIMENTO DE CIMENTO ASFÁLTICO DE PETRÓLEO (CAP)</t>
  </si>
  <si>
    <t xml:space="preserve">URBANIZAÇÃO COM EXECUÇÃO DE MEIO FIO, PREPARO DE BASE PARA PAVIMENTAÇÃO, CALÇADA, CICLOVIA E PÓRTICO. JACONÉ </t>
  </si>
  <si>
    <t>IMPLANTAÇÃO DO INSTITUTO FEDERAL FLUMINENSE</t>
  </si>
  <si>
    <t>URBANIZAÇÃO E DRENAGEM DE DIVERSOS LOGRADOUROS NO LOTEAMENTO SÃO BENTO DA LAGOA 2</t>
  </si>
  <si>
    <t>URBANIZAÇÃO E DRENAGEM DE LOGRADOUROS SÃO BENTO DA LAGOA I</t>
  </si>
  <si>
    <t>URBANIZAÇÃO, SANEAMENTO E DRENAGEM DA AVENIDA BEIRA RIO INOÃ - MARICÁ</t>
  </si>
  <si>
    <t>CAMPUS DE EDUCAÇÃO TRANSFORMADORA - CEPT</t>
  </si>
  <si>
    <t>CONSTRUÇÃO DO CENTRO DE REABILITAÇÃO CASA NAIR</t>
  </si>
  <si>
    <t>AMPLIAÇÃO DO CENTRO DE EDUCAÇÃO INFANTIL PROFESSOR JOSÉ CARLOS DE ALMEIDA E SILVA</t>
  </si>
  <si>
    <t>PROJ. EXEC. PARA CONVERSÃO DE REDE ELÉTRICA DE DISTRIB. AÉREA AT E BT, TEL., DADOS E FIBRA ÓTICA EM REDE SUBTERRÂNEA.</t>
  </si>
  <si>
    <t>DRENAGEM E PAVIMENTAÇÃO DA ESTRADA DA GAMBOA</t>
  </si>
  <si>
    <t>LIGAÇÃO DAS ESTRADAS DA GAMBOA BAIXADA MINEIRA</t>
  </si>
  <si>
    <t>URBANIZAÇÃO DA ORLA DE ITAIPUAÇU COM CONSTRUÇÃO DE GUARITAS DE GUARDA VIDAS  ORLA 01</t>
  </si>
  <si>
    <t>URBANIZAÇÃO DA ORLA DE ITAIPUAÇU COM CONSTRUÇÃO DE GUARITAS DE GUARDA VIDAS  ORLA 02</t>
  </si>
  <si>
    <t>PONTE SOBRE O CANAL DE PONTA NEGRA</t>
  </si>
  <si>
    <t>CONSTRUÇÃO DE PASSARELA SOBRE A RJ 106, KM 16,5</t>
  </si>
  <si>
    <t>DUPLICAÇÃO DA ESTRADA OSCAR VIEIRA DA COSTA (ANTIGA ESTRADA DOS CAJUEIROS)</t>
  </si>
  <si>
    <t>CONSTRUÇÃO DE GALPÃO DA SOMAR</t>
  </si>
  <si>
    <t xml:space="preserve">CONSTRUÇÃO DE COMPLEXO TURÍSTICO E ECOLÓGICO DO MIRANTE DO CAJÚ </t>
  </si>
  <si>
    <t>PROC. PAG.</t>
  </si>
  <si>
    <t>PERÍODO DA ÚLTIMA MEDIÇÃO</t>
  </si>
  <si>
    <t>11889/2020</t>
  </si>
  <si>
    <t>8438/2020</t>
  </si>
  <si>
    <t>27300/2018</t>
  </si>
  <si>
    <t>24820/2018</t>
  </si>
  <si>
    <t>12793/2014</t>
  </si>
  <si>
    <t>27522/2018</t>
  </si>
  <si>
    <t>24467/2018</t>
  </si>
  <si>
    <t>13548/2018</t>
  </si>
  <si>
    <t>13319/2019</t>
  </si>
  <si>
    <t>17527/2018</t>
  </si>
  <si>
    <t>29220/2019</t>
  </si>
  <si>
    <t>7954/2018</t>
  </si>
  <si>
    <t>22373/2018</t>
  </si>
  <si>
    <t>15472/2020</t>
  </si>
  <si>
    <t>5746/2020</t>
  </si>
  <si>
    <t>14034/2020</t>
  </si>
  <si>
    <t>18203/2018</t>
  </si>
  <si>
    <t>16080/2018</t>
  </si>
  <si>
    <t>2963/2019</t>
  </si>
  <si>
    <t>14441/2018</t>
  </si>
  <si>
    <t>2935/2018</t>
  </si>
  <si>
    <t>11663/2020</t>
  </si>
  <si>
    <t>27512/2018</t>
  </si>
  <si>
    <t>14323/2020</t>
  </si>
  <si>
    <t>12362/2020</t>
  </si>
  <si>
    <t xml:space="preserve">ÚLTIMA MEDIÇÃO </t>
  </si>
  <si>
    <t>30/10/19 À 29/11/19</t>
  </si>
  <si>
    <t>08/03/19 À 22/03/19</t>
  </si>
  <si>
    <t>21/07/18 À 20/08/18</t>
  </si>
  <si>
    <t>21/06/18 À 20/07/18</t>
  </si>
  <si>
    <t>01/01/20 À 15/01/20</t>
  </si>
  <si>
    <t>01/08/19 À 30/08/19</t>
  </si>
  <si>
    <t>02/02/20 À 29/02/20</t>
  </si>
  <si>
    <t>25157/2017</t>
  </si>
  <si>
    <t>-</t>
  </si>
  <si>
    <t>CONTECK</t>
  </si>
  <si>
    <t>2538/2020</t>
  </si>
  <si>
    <t>231/2020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</si>
  <si>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</si>
  <si>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URBANIZAÇÃO DA ORLA DE PONTA NEGRA E CONSTRUÇÃO DE SEIS QUIOSQUES</t>
  </si>
  <si>
    <t>13431/2019</t>
  </si>
  <si>
    <t>072/2020</t>
  </si>
  <si>
    <t>CONSTRUÇÃO DE BANHEIROS E ALAMBRADO - CAMPO DE VÁRZEA - CAXITO</t>
  </si>
  <si>
    <t>COMERCIAL DE EQUIPAMENTO CNL DE SÃO GONÇALO</t>
  </si>
  <si>
    <t>26050/2017</t>
  </si>
  <si>
    <t>355/2018</t>
  </si>
  <si>
    <t>3769/2021</t>
  </si>
  <si>
    <t>5997/2020</t>
  </si>
  <si>
    <t>14217/2020</t>
  </si>
  <si>
    <t>DELTA ELETROMÓVEIS EIRELI</t>
  </si>
  <si>
    <t>757/2021</t>
  </si>
  <si>
    <t>33/2021</t>
  </si>
  <si>
    <t>21/01/21 À 06/04/21</t>
  </si>
  <si>
    <t>AQUISIÇÃO DE ELETRODOMÉSTICOS E ELETRÔNICOS</t>
  </si>
  <si>
    <t>23/06/20 À 06/08/20</t>
  </si>
  <si>
    <t>4235/2021</t>
  </si>
  <si>
    <t>23945/2018</t>
  </si>
  <si>
    <t>02/2021</t>
  </si>
  <si>
    <t>CONSTRUÇÃO DOS ACESSOS A PONTE SOBRE O CANAL DA PONTA NEGRA</t>
  </si>
  <si>
    <t>1470/2020</t>
  </si>
  <si>
    <t xml:space="preserve">MACRODRENAGEM NO RIO ITAOCAIA VALLEY - TRECHO RUA GUARANY </t>
  </si>
  <si>
    <t>VALPLAT CONSTRUÇÕES EIRELLI</t>
  </si>
  <si>
    <t>MK CONSTRUÇÕES LOCAÇÕES E TRANSPORTES EIRELLI</t>
  </si>
  <si>
    <t>7624/2020</t>
  </si>
  <si>
    <t>20/2021</t>
  </si>
  <si>
    <t>CONTRATAÇÃO DE EMPRESA ESPECIALIZADA EM CRAVAÇÃO DE ESTACAS PRANCHAS METÁLICAS, COM USO DE MARTELO VIBRATÓRIO</t>
  </si>
  <si>
    <t>97/2021</t>
  </si>
  <si>
    <t>18671/2018</t>
  </si>
  <si>
    <t>SERVIÇO DE USINAGEM, TRANSPORTE E APLICAÇÃO DE CBUQ PARA PAVIMENTAÇÃO E RECUPERAÇÃO 4ª PRORROGAÇÃO</t>
  </si>
  <si>
    <t>6670/2021</t>
  </si>
  <si>
    <t>5775/2021</t>
  </si>
  <si>
    <t>6530/2021</t>
  </si>
  <si>
    <t>PAVIMENTAÇÃO E DRENAGEM DA AVENIDA B E DE OUTROS LOGRADOUROS COM CONSTRUÇÃO DE OBRA DE ARTE ESPECIAL SOBRE O RIO BAMBU - CHÁCARA DE INOÃ.</t>
  </si>
  <si>
    <t>24025/2019</t>
  </si>
  <si>
    <t>MACRODRENAGEM E PAVIMENTAÇÃO DIVERSOS LOGRADOUROS DE SÃO JOSÉ DE IMBASSAI.</t>
  </si>
  <si>
    <t>2744/2019</t>
  </si>
  <si>
    <t>8505/2020</t>
  </si>
  <si>
    <t>3º USO DA ATA DE REGISTRO DE PREÇOS Nº 07/2019 PARA AQUISIÇÃO E INSTALAÇÃO DE ESTAÇÃO DE TRATAMENTO DE ESGOTO</t>
  </si>
  <si>
    <t>1888/2020</t>
  </si>
  <si>
    <t>SERVIÇO DE PAVIMENTAÇÃO E DRENAGEM NO BAIRRO JARDIM ATLÂNTICO LESTE - 4º DISTRITO</t>
  </si>
  <si>
    <t>CONSÓRCIO ACA F.P. VIEIRA JARDIM ATLÂNTICO</t>
  </si>
  <si>
    <t>16/03/21 À 25/03/21</t>
  </si>
  <si>
    <t>LOCAÇÃO DE MONOBLOCOS HABITÁVEIS 1ª PRORROGAÇÃO</t>
  </si>
  <si>
    <t>ACUMULADO (R$)</t>
  </si>
  <si>
    <t>SALDO (R$)</t>
  </si>
  <si>
    <t>EXECUTADO</t>
  </si>
  <si>
    <t>VALOR DO CONTRATO (R$)</t>
  </si>
  <si>
    <t>SALDO DE EMPENHO ATUAL (R$)</t>
  </si>
  <si>
    <t>VALOR DA ÚLTIMA MEDIÇÃO (R$)</t>
  </si>
  <si>
    <t>8048/2021</t>
  </si>
  <si>
    <t>PREFEITURA MUNICIPAL DE MARICÁ</t>
  </si>
  <si>
    <t>SOMAR - AUTARQUIA MUNICIPAL DE SERVIÇOS E OBRAS DE MARICÁ</t>
  </si>
  <si>
    <t xml:space="preserve">DIVISÃO ADMINISTRATIVA </t>
  </si>
  <si>
    <t>SETOR DE PROCESSAMENTO</t>
  </si>
  <si>
    <t>MAPA DE CONTROLE DE EXECUÇÃO CONTRATUAL</t>
  </si>
  <si>
    <t xml:space="preserve">Processo PG nº 11889/2020 </t>
  </si>
  <si>
    <t>Contrato : 52/2020</t>
  </si>
  <si>
    <t>Empresa: COFRANZA CONSTRUTORA LTDA.</t>
  </si>
  <si>
    <t>Processo ADM nº 16005/2019</t>
  </si>
  <si>
    <t>Objeto:  CONTRATAÇÃO DE EMPRESA PARA EXECUÇÃO DE SERVIÇOS DE PAVIMENTAÇÃO E DRENAGEM DO LOTEAMENTO OUROMAR.</t>
  </si>
  <si>
    <t>Valor contratual R$ 14.702.968,24</t>
  </si>
  <si>
    <t xml:space="preserve"> Data de início: 09/06/2020</t>
  </si>
  <si>
    <t>Data de Término Vigência:10/11/2021 / 06/02/2022  Data de Término: Execução  10/10/2021</t>
  </si>
  <si>
    <t>1º Reajuste:</t>
  </si>
  <si>
    <t>Paralisação: 09/12/2020 - 01/03/2021</t>
  </si>
  <si>
    <t>Reinicio: 01/02/2021 - 07/06/2021</t>
  </si>
  <si>
    <t>EMPENHO</t>
  </si>
  <si>
    <t>NOTA FISCAL</t>
  </si>
  <si>
    <t>Saldo Empenho</t>
  </si>
  <si>
    <t>Saldo Contrato</t>
  </si>
  <si>
    <t>Obs.</t>
  </si>
  <si>
    <t>Data</t>
  </si>
  <si>
    <t>Nº</t>
  </si>
  <si>
    <t>Valor</t>
  </si>
  <si>
    <t>235/2020 E</t>
  </si>
  <si>
    <t xml:space="preserve">                    REFERENTE A 1° MEDIÇÃO DE 09/06/2020 À 08/07/2020</t>
  </si>
  <si>
    <t>11570/2020</t>
  </si>
  <si>
    <t xml:space="preserve">      REFERENTE A 2° MEDIÇÃO DE 09/07/2020 À 08/08/2020</t>
  </si>
  <si>
    <t>13360 A</t>
  </si>
  <si>
    <t xml:space="preserve">      REFERENTE A 3° MEDIÇÃO DE 09/08/2020 À 08/09/2020</t>
  </si>
  <si>
    <t>38/2021-E</t>
  </si>
  <si>
    <t xml:space="preserve">      REFERENTE A 4° MEDIÇÃO DE 09/09/2020 À 08/10/2020</t>
  </si>
  <si>
    <t>014126/2021A</t>
  </si>
  <si>
    <t xml:space="preserve">     REFERENTE A 5° MEDIÇÃO DE 09/10/2020 À 08/11/2020</t>
  </si>
  <si>
    <t>544/2021E</t>
  </si>
  <si>
    <t xml:space="preserve">     REFERENTE A 6ª MEDIÇÃO DE 09/11/2020 À 08/12/2020</t>
  </si>
  <si>
    <t>554/2021E</t>
  </si>
  <si>
    <t>REFERENTE A 7° MEDIÇÃO DE 01/02/2021 À 28/02/2021</t>
  </si>
  <si>
    <t>555/2021E</t>
  </si>
  <si>
    <t>REFERENTE A 8° MEDIÇÃO DE 07/06/2021 À 22/06/2021</t>
  </si>
  <si>
    <t>REFERENTE A 9° MEDIÇÃO DE 23/06/2021 À 15/07/2021</t>
  </si>
  <si>
    <t>REFERENTE A 10° MEDIÇÃO DE 16/07/2021 À 05/08/2021</t>
  </si>
  <si>
    <t>Estado do Rio de Janeiro</t>
  </si>
  <si>
    <t xml:space="preserve">Somar - Autarquia de Serviços de Obras de Maricá </t>
  </si>
  <si>
    <t>Diretoria Operacional de Administração e Finanças</t>
  </si>
  <si>
    <t>Divisão Administrativa - Setor de Processamento</t>
  </si>
  <si>
    <t>Mapa de Controle de Execução Contratual</t>
  </si>
  <si>
    <t>Processo PG nº 30450/2019</t>
  </si>
  <si>
    <t>Empresa: TECNIPAR AMBIENTAL LTDA</t>
  </si>
  <si>
    <t>Processo ADM nº20054/2019</t>
  </si>
  <si>
    <t>Objeto: Aquisição de estações de tratamento de esgoto (ETE'S) compactas, a serem instaladas em vários pontos do município de Maricá</t>
  </si>
  <si>
    <t>Data da 2ª paralisação: 08/06/2020</t>
  </si>
  <si>
    <t>Contrato nº80/2019</t>
  </si>
  <si>
    <t>Data início: 01/10/2019</t>
  </si>
  <si>
    <t>Data do 2ª reinício: 01/12/2020</t>
  </si>
  <si>
    <t>valor contratual: R$ 901.600,00</t>
  </si>
  <si>
    <t>Data da paralisação:  02/01/2020</t>
  </si>
  <si>
    <t xml:space="preserve">Data Término : 11/11/2021            </t>
  </si>
  <si>
    <t>Data do reinício: 20/03/2020</t>
  </si>
  <si>
    <t>OBS.</t>
  </si>
  <si>
    <t>Número</t>
  </si>
  <si>
    <t>364/2019 - E</t>
  </si>
  <si>
    <t>Nota fiscal cancelada</t>
  </si>
  <si>
    <t>11327/2020 -A</t>
  </si>
  <si>
    <t xml:space="preserve"> </t>
  </si>
  <si>
    <t>256/2020 - E</t>
  </si>
  <si>
    <t>DIF.</t>
  </si>
  <si>
    <t>01/08/21 À 31/08/21</t>
  </si>
  <si>
    <t>02/05/21 A 01/07/21</t>
  </si>
  <si>
    <t>14ª</t>
  </si>
  <si>
    <t>02/03/21 A 01/07/21</t>
  </si>
  <si>
    <t>26/07/21 A 25/08/21</t>
  </si>
  <si>
    <t>NOVA HORIZONTE</t>
  </si>
  <si>
    <t>EXECUÇÃO DE SERVIÇOS DE RECOMPOSIÇÃO DE PAVIMENTO FLEXÍVEL-2ª PRORROG. - TAPA BURACO TIPO A E B</t>
  </si>
  <si>
    <t>11/08/21 À 10/09/21</t>
  </si>
  <si>
    <t>11/09/21 À 10/10/21</t>
  </si>
  <si>
    <t>07/08/21 À 16/09/21</t>
  </si>
  <si>
    <t>01/11/21 À 03/12/21</t>
  </si>
  <si>
    <t>LOCAÇÃO DE MAQUINAS E EQUIPAMENTOS 4ª PRORROGAÇÃO</t>
  </si>
  <si>
    <t>12/05/21 À 11/06/22</t>
  </si>
  <si>
    <t>12/06/21 À 11/07/21</t>
  </si>
  <si>
    <t>22/10/20 À 17/11/20</t>
  </si>
  <si>
    <t>TRAÇADO</t>
  </si>
  <si>
    <t>6523/2021</t>
  </si>
  <si>
    <t>211/2021</t>
  </si>
  <si>
    <t>FORNECIMENTO DE CIMENTO ASFÁLTICO CAP 50/70</t>
  </si>
  <si>
    <t>23/12/21 À 12/01/22</t>
  </si>
  <si>
    <t>17/10/21 à 16/12/21</t>
  </si>
  <si>
    <t>21/03/22 A 30/03/22</t>
  </si>
  <si>
    <t>16/11/21 À 14/01/22</t>
  </si>
  <si>
    <t>23/02/22 A 22/03/22</t>
  </si>
  <si>
    <t>EMBRATOP</t>
  </si>
  <si>
    <t>402/2022</t>
  </si>
  <si>
    <t>78/2022</t>
  </si>
  <si>
    <t>AQUISIÇÃO DE MATERIAIS DE TOPOGRAFIA</t>
  </si>
  <si>
    <t>LOCAÇÃO DE MAQUINAS E EQUIPAMENTOS 3ª PRORROGAÇÃO</t>
  </si>
  <si>
    <t>23/04/22 À 31/05/22</t>
  </si>
  <si>
    <t>LOCAÇÃO DE MONOBLOCOS HABITÁVEIS 2ª PRORROGAÇÃO</t>
  </si>
  <si>
    <t>01/06/22 A 05/07/22</t>
  </si>
  <si>
    <t>LOCAÇÃO DE MAQUINAS E EQUIPAMENTOS 5ª PRORROGAÇÃO</t>
  </si>
  <si>
    <t>01/08/22 À 31/08/22</t>
  </si>
  <si>
    <t>23/02/21 À 23/06/22</t>
  </si>
  <si>
    <t>primotech</t>
  </si>
  <si>
    <t>24/01/22 À 23/02/22</t>
  </si>
  <si>
    <t>ZADAR CONTRUTORA</t>
  </si>
  <si>
    <t>12544/2021</t>
  </si>
  <si>
    <t>215/2022</t>
  </si>
  <si>
    <t>MOPREM CONSTRUTORA LTDA - EPP</t>
  </si>
  <si>
    <t>2686/2022</t>
  </si>
  <si>
    <t>174/2022</t>
  </si>
  <si>
    <t>17212/2022</t>
  </si>
  <si>
    <t>CONTRATAÇÃO DE EMPRESA ESPECIALIZADA PARA CONSTRUÇÃO DE PONTE SOBRE O RIO ESPRAIADO NA EVENIDA CENTRAL BAIRRO ESPRAIADO SITUADO NO 2º DISTRITO NO MUNICÍPIO DE MARICÁ</t>
  </si>
  <si>
    <t>2087/2022</t>
  </si>
  <si>
    <t>170/2022</t>
  </si>
  <si>
    <t>17319/2022</t>
  </si>
  <si>
    <t>CONTRATAÇÃO DE EMPRESA PARA CONSTRUÇÃO DE PONTE SOBRE O RIO LUDGERO, NA ESTRADA DO CAXITO, BAIRRO CAXITO, SITUADO NO 1º DISTRITO DO MUNICÍPIO DE MARICÁ</t>
  </si>
  <si>
    <t>1708/2022</t>
  </si>
  <si>
    <t>251/2022</t>
  </si>
  <si>
    <t xml:space="preserve">PAVIMENTAÇÃO, DRENAGEM E URBANIZAÇÃO DE DIVERSOS LOGRADOUROS NO BAIRRO BARROCO EM ITAIPUAÇU </t>
  </si>
  <si>
    <t>CONSORCIO ECONORTE CMSA ITAOCAIA VALLEY</t>
  </si>
  <si>
    <t>11787/2021</t>
  </si>
  <si>
    <t>168/2022</t>
  </si>
  <si>
    <t>URBANIZAÇÃO DE DIVERSOS LOGRADOUROS DE ITAOCAIA VALLEY - BACIA 01</t>
  </si>
  <si>
    <t/>
  </si>
  <si>
    <t>URBANIZAÇÃO DE DIVERSOS LOGRADOUROS DE ITAOCAIA VALLEY-BACIA-02</t>
  </si>
  <si>
    <t>CONSÓRCIO ROTAS MARICÁ</t>
  </si>
  <si>
    <t>5767/2022</t>
  </si>
  <si>
    <t>246/2022</t>
  </si>
  <si>
    <t>IMPLANTAÇÃO DO ELEVADO DO FLAMENGO NO ENTRONCAMENTO DA RJ-114 COM RJ-106</t>
  </si>
  <si>
    <t>11/12/22 A 31/12/22</t>
  </si>
  <si>
    <t>16/11/22 À 30/11/22</t>
  </si>
  <si>
    <t>PONTE DO LUDGERO (ABREU SODRÉ)</t>
  </si>
  <si>
    <t>1507/2022</t>
  </si>
  <si>
    <t>221/2022</t>
  </si>
  <si>
    <t>CONSTRUÇÃO DA PASSARELA DO PARQUE NANCI</t>
  </si>
  <si>
    <t>PIRES MATOS - CONSTRUÇÕES EIRELI</t>
  </si>
  <si>
    <t>12874/2021</t>
  </si>
  <si>
    <t>159/2022</t>
  </si>
  <si>
    <t>CONSTRUÇÃO DOS ANEXOS (VESTIÁRIOS E DEPÓSITOS DE RESÍDUOS E PARTE CIVIL DA ETE) DO CAMPUS DE EDUCAÇÃO TRANSFORMADORA CEPT</t>
  </si>
  <si>
    <t>4059/2022</t>
  </si>
  <si>
    <t>08/01/23 A 07/02/23</t>
  </si>
  <si>
    <t>13/12/23 A 12/01/23</t>
  </si>
  <si>
    <t>CONNECT ON MARKETING DE EVENTOS LTDA</t>
  </si>
  <si>
    <t>1827/2023</t>
  </si>
  <si>
    <t>76/2023</t>
  </si>
  <si>
    <t>7462/2023</t>
  </si>
  <si>
    <t>SERVIÇO DE CURSO DE CAPACITAÇÃO COM O TEMA: GESTÃO E FISCALIZAÇÃO DE OBRAS E SERVIÇOS DE ENGENHARIA DE ACORDO COM A LEI 14.133/2021;</t>
  </si>
  <si>
    <t>CINÉTICA INFRAESTRUTURA E CONSTRUÇÕES LTDA</t>
  </si>
  <si>
    <t>14303/2021</t>
  </si>
  <si>
    <t>272/2022</t>
  </si>
  <si>
    <t>CONSTRUÇÃO DO ANEXO E DA PISCINA ARENA MUMBUCA-RODOVIA AMARAL PEIXOTO, KM 28 - MUMBUCA - 1º DISTRITO - MARICÁ - RJ</t>
  </si>
  <si>
    <t>09/01/23 À 08/02/23</t>
  </si>
  <si>
    <t>GREEN ENERGY</t>
  </si>
  <si>
    <t>CONSTRUÇÃO DOS ANEXOS DA LONA CULTURAL - BARRA DE MARICÁ.RUA 13 COM AVENIDA CENTRAL - BARRA DE MARICÁ - MARICÁ/RJ</t>
  </si>
  <si>
    <t>2053/2022</t>
  </si>
  <si>
    <t>274/2022</t>
  </si>
  <si>
    <t>CONSTRUÇÃO DE PASSARELA SOBRE A RJ 106, ALTURA DO KM23, EM FRENTE AO HOSPITAL  DR.ERNESTO CHE GUEVARA .</t>
  </si>
  <si>
    <t>5489/2022</t>
  </si>
  <si>
    <t>4404/2022</t>
  </si>
  <si>
    <t>220/2022</t>
  </si>
  <si>
    <t>CONSTRUÇÃO DE PONTE SOBRE O RIO LUDGERO, NA ESTRADA DO RIO FUNDO, BAIRRO CAXITO, SITUADO NO 1º DISTRITO DO MUNICÍPIO DE MARICÁ.</t>
  </si>
  <si>
    <t>CONTRATAÇÃO DE EMPRESA ESPECIALIZADA EM EXECUÇÃO DE USINAGEM, TRANSPORTE E APLICAÇÃO DE CONCRETO BETUMINOSO USINADO A QUENTE</t>
  </si>
  <si>
    <t>6191/2022</t>
  </si>
  <si>
    <t>260/2022</t>
  </si>
  <si>
    <t>3643/2023</t>
  </si>
  <si>
    <t>LAZARUS CONSULTORIA</t>
  </si>
  <si>
    <t>12254/2021</t>
  </si>
  <si>
    <t>167/2022</t>
  </si>
  <si>
    <t>15434/2022</t>
  </si>
  <si>
    <t>CONTRATAÇÃO DE EMPRESA PARA SERVIÇOS DE GERENCIAMENTO E APOIO TÉCNICO ESPECIALIZADO PARA ELABORAÇÃO DO PROGRAMA DE DRENAGEM E MANEJO DE ÁGUAS PLUVIAIS DO MUNICÍPIO DE MARICÁ</t>
  </si>
  <si>
    <t>08/02/23 A 07/03/23</t>
  </si>
  <si>
    <t>01/03/23 A 31/05/23</t>
  </si>
  <si>
    <t>13/01/23 À 11/02/23</t>
  </si>
  <si>
    <t>12/01/23 À 10/02/23</t>
  </si>
  <si>
    <t>01/06/23 A 08/06/23</t>
  </si>
  <si>
    <t>CONSORCIO MANU MANUELA</t>
  </si>
  <si>
    <t>18533/2022</t>
  </si>
  <si>
    <t>117/2023</t>
  </si>
  <si>
    <t>CONSTRUÇÃO DA PASSARELA DO  MANU MANUELA</t>
  </si>
  <si>
    <t>15/08/22 A 22/04/22</t>
  </si>
  <si>
    <t>16/01/23 À 15/02/23</t>
  </si>
  <si>
    <t>01/06/23 A 30/06/23</t>
  </si>
  <si>
    <t>16/08/23 À 15/09/23</t>
  </si>
  <si>
    <t>FORNECIMENTO DE CIMENTO ASFÁLTICO CAP 30/45</t>
  </si>
  <si>
    <t>4501/2023</t>
  </si>
  <si>
    <t>143/2023</t>
  </si>
  <si>
    <t>16366/2023</t>
  </si>
  <si>
    <t>16/07/23 À 15/08/23</t>
  </si>
  <si>
    <t>24841/2022</t>
  </si>
  <si>
    <t>162/2023</t>
  </si>
  <si>
    <t>INSTALAÇÃO DE ONDULAÇÃO TRANSVERSAL E TRAVESSIAS ELEVADAS EM DIVERSOS LOGRADOUROS NO MUNICÍPIO DE MARICÁ .</t>
  </si>
  <si>
    <t>9682/2023</t>
  </si>
  <si>
    <t>220/2023</t>
  </si>
  <si>
    <t>01/07/23 À 31/07/23</t>
  </si>
  <si>
    <t>D.SOARES</t>
  </si>
  <si>
    <t>431/2023</t>
  </si>
  <si>
    <t>35/2023</t>
  </si>
  <si>
    <t>10229/2023</t>
  </si>
  <si>
    <t xml:space="preserve">SERVIÇOS DE SONDAGEM GEOTÉCNICA, COM FORNECIMENTO DE MATERIAIS E EQUIPAMENTOS </t>
  </si>
  <si>
    <t>3ª</t>
  </si>
  <si>
    <t>01/10/23 A 31/10/24</t>
  </si>
  <si>
    <t>01/10/23 A 31/10/25</t>
  </si>
  <si>
    <t>12/07/23 A 02/10/23</t>
  </si>
  <si>
    <t>30/10/23 A 13/11/23</t>
  </si>
  <si>
    <t>01/10/23 À 30/10/23</t>
  </si>
  <si>
    <t>01/10/23 À 31/10/23</t>
  </si>
  <si>
    <t>01/11/23 A 30/11/23</t>
  </si>
  <si>
    <t>01/08/23 À 31/08/23</t>
  </si>
  <si>
    <t>16/10/23 À 15/11/23</t>
  </si>
  <si>
    <t>05/11/23 À 04/12/23</t>
  </si>
  <si>
    <t>SALDO DE EMPENHO 2024 (R$)</t>
  </si>
  <si>
    <t>29/10/23 À 08/12/23</t>
  </si>
  <si>
    <t>09/11/23 A 08/12/23</t>
  </si>
  <si>
    <t>06/12/23 À 31/12/23</t>
  </si>
  <si>
    <t>09/12/23 A 31/12/23</t>
  </si>
  <si>
    <t>01/12/23 À 31/12/23</t>
  </si>
  <si>
    <t>06/12/23 A 05/01/23</t>
  </si>
  <si>
    <t xml:space="preserve"> 040/2023</t>
  </si>
  <si>
    <t>118/2022</t>
  </si>
  <si>
    <t>PLANILHA DE CONTROLE DE OBRAS INDIRETAS- JANEIRO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</si>
</sst>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&quot;ª&quot;"/>
    <numFmt numFmtId="165" formatCode="dd/mm/yy;@"/>
    <numFmt numFmtId="166" formatCode="&quot;R$&quot;\ #,##0.00"/>
    <numFmt numFmtId="167" formatCode="&quot;R$ &quot;#,##0.00"/>
    <numFmt numFmtId="168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167" fontId="0" fillId="0" borderId="0" xfId="0" applyNumberForma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/>
    <xf numFmtId="4" fontId="4" fillId="0" borderId="0" xfId="0" applyNumberFormat="1" applyFont="1"/>
    <xf numFmtId="14" fontId="5" fillId="0" borderId="0" xfId="0" applyNumberFormat="1" applyFont="1"/>
    <xf numFmtId="4" fontId="1" fillId="0" borderId="0" xfId="0" applyNumberFormat="1" applyFont="1"/>
    <xf numFmtId="8" fontId="1" fillId="0" borderId="0" xfId="0" applyNumberFormat="1" applyFont="1"/>
    <xf numFmtId="14" fontId="1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4" fontId="0" fillId="0" borderId="10" xfId="0" applyNumberFormat="1" applyBorder="1" applyAlignment="1">
      <alignment vertical="top" wrapText="1"/>
    </xf>
    <xf numFmtId="167" fontId="0" fillId="0" borderId="12" xfId="0" applyNumberFormat="1" applyBorder="1" applyAlignment="1">
      <alignment vertical="top" wrapText="1"/>
    </xf>
    <xf numFmtId="14" fontId="0" fillId="0" borderId="11" xfId="0" applyNumberFormat="1" applyBorder="1" applyAlignment="1">
      <alignment vertical="top" wrapText="1"/>
    </xf>
    <xf numFmtId="167" fontId="0" fillId="0" borderId="11" xfId="0" applyNumberFormat="1" applyBorder="1" applyAlignment="1">
      <alignment vertical="top" wrapText="1"/>
    </xf>
    <xf numFmtId="167" fontId="0" fillId="0" borderId="11" xfId="0" applyNumberFormat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14" fontId="0" fillId="0" borderId="11" xfId="0" applyNumberFormat="1" applyBorder="1" applyAlignment="1">
      <alignment horizontal="right" vertical="top" wrapText="1"/>
    </xf>
    <xf numFmtId="14" fontId="0" fillId="0" borderId="4" xfId="0" applyNumberFormat="1" applyBorder="1" applyAlignment="1">
      <alignment vertical="top" wrapText="1"/>
    </xf>
    <xf numFmtId="14" fontId="0" fillId="0" borderId="13" xfId="0" applyNumberFormat="1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167" fontId="0" fillId="0" borderId="7" xfId="0" applyNumberFormat="1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168" fontId="0" fillId="0" borderId="16" xfId="0" applyNumberFormat="1" applyBorder="1" applyAlignment="1">
      <alignment vertical="top" wrapText="1"/>
    </xf>
    <xf numFmtId="167" fontId="0" fillId="0" borderId="15" xfId="0" applyNumberForma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7" fontId="0" fillId="0" borderId="17" xfId="0" applyNumberFormat="1" applyBorder="1" applyAlignment="1">
      <alignment vertical="top" wrapText="1"/>
    </xf>
    <xf numFmtId="167" fontId="0" fillId="0" borderId="18" xfId="0" applyNumberFormat="1" applyBorder="1" applyAlignment="1">
      <alignment vertical="top" wrapText="1"/>
    </xf>
    <xf numFmtId="167" fontId="0" fillId="0" borderId="14" xfId="0" applyNumberFormat="1" applyBorder="1" applyAlignment="1">
      <alignment vertical="top" wrapText="1"/>
    </xf>
    <xf numFmtId="14" fontId="0" fillId="0" borderId="19" xfId="0" applyNumberFormat="1" applyBorder="1" applyAlignment="1">
      <alignment horizontal="right" vertical="top" wrapText="1"/>
    </xf>
    <xf numFmtId="0" fontId="0" fillId="0" borderId="20" xfId="0" applyBorder="1" applyAlignment="1">
      <alignment horizontal="center" vertical="top" wrapText="1"/>
    </xf>
    <xf numFmtId="167" fontId="0" fillId="0" borderId="4" xfId="0" applyNumberFormat="1" applyBorder="1" applyAlignment="1">
      <alignment vertical="top" wrapText="1"/>
    </xf>
    <xf numFmtId="167" fontId="0" fillId="0" borderId="19" xfId="0" applyNumberFormat="1" applyBorder="1" applyAlignment="1">
      <alignment vertical="top" wrapText="1"/>
    </xf>
    <xf numFmtId="14" fontId="0" fillId="0" borderId="4" xfId="0" applyNumberFormat="1" applyBorder="1" applyAlignment="1">
      <alignment horizontal="right" vertical="top" wrapText="1"/>
    </xf>
    <xf numFmtId="0" fontId="0" fillId="0" borderId="19" xfId="0" applyBorder="1" applyAlignment="1">
      <alignment horizontal="center" vertical="top" wrapText="1"/>
    </xf>
    <xf numFmtId="167" fontId="0" fillId="0" borderId="13" xfId="0" applyNumberFormat="1" applyBorder="1" applyAlignment="1">
      <alignment vertical="top" wrapText="1"/>
    </xf>
    <xf numFmtId="14" fontId="0" fillId="0" borderId="20" xfId="0" applyNumberForma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166" fontId="0" fillId="0" borderId="13" xfId="0" applyNumberFormat="1" applyBorder="1" applyAlignment="1">
      <alignment vertical="top" wrapText="1"/>
    </xf>
    <xf numFmtId="0" fontId="0" fillId="0" borderId="4" xfId="0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167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horizontal="center" vertical="top" wrapText="1"/>
    </xf>
    <xf numFmtId="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67" fontId="0" fillId="0" borderId="0" xfId="0" applyNumberForma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7" fontId="0" fillId="0" borderId="12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67" fontId="0" fillId="0" borderId="11" xfId="0" applyNumberFormat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 vertical="center" wrapText="1"/>
    </xf>
    <xf numFmtId="10" fontId="0" fillId="0" borderId="0" xfId="2" applyNumberFormat="1" applyFont="1"/>
    <xf numFmtId="44" fontId="0" fillId="0" borderId="0" xfId="1" applyFont="1"/>
    <xf numFmtId="44" fontId="0" fillId="0" borderId="0" xfId="1" applyFont="1" applyBorder="1"/>
    <xf numFmtId="0" fontId="2" fillId="4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3" fontId="2" fillId="4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0" xfId="0" applyFont="1" applyFill="1"/>
    <xf numFmtId="44" fontId="2" fillId="3" borderId="0" xfId="0" applyNumberFormat="1" applyFont="1" applyFill="1"/>
    <xf numFmtId="0" fontId="2" fillId="4" borderId="1" xfId="0" applyFont="1" applyFill="1" applyBorder="1" applyAlignment="1">
      <alignment vertical="center" wrapText="1"/>
    </xf>
    <xf numFmtId="10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43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2" fillId="4" borderId="3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right" vertical="center"/>
    </xf>
    <xf numFmtId="4" fontId="2" fillId="0" borderId="0" xfId="0" applyNumberFormat="1" applyFont="1"/>
    <xf numFmtId="0" fontId="2" fillId="6" borderId="0" xfId="0" applyFont="1" applyFill="1"/>
    <xf numFmtId="43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43" fontId="2" fillId="4" borderId="3" xfId="0" applyNumberFormat="1" applyFont="1" applyFill="1" applyBorder="1" applyAlignment="1">
      <alignment vertical="center"/>
    </xf>
    <xf numFmtId="43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/>
    </xf>
    <xf numFmtId="4" fontId="0" fillId="0" borderId="0" xfId="0" quotePrefix="1" applyNumberFormat="1"/>
    <xf numFmtId="17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44" fontId="2" fillId="4" borderId="0" xfId="0" applyNumberFormat="1" applyFont="1" applyFill="1"/>
    <xf numFmtId="165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right" vertical="center"/>
    </xf>
    <xf numFmtId="43" fontId="2" fillId="4" borderId="3" xfId="0" applyNumberFormat="1" applyFont="1" applyFill="1" applyBorder="1" applyAlignment="1">
      <alignment horizontal="right" vertical="center"/>
    </xf>
    <xf numFmtId="43" fontId="2" fillId="4" borderId="21" xfId="0" applyNumberFormat="1" applyFont="1" applyFill="1" applyBorder="1" applyAlignment="1">
      <alignment horizontal="right" vertical="center"/>
    </xf>
    <xf numFmtId="17" fontId="2" fillId="4" borderId="3" xfId="0" applyNumberFormat="1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vertical="center"/>
    </xf>
    <xf numFmtId="166" fontId="2" fillId="4" borderId="0" xfId="0" applyNumberFormat="1" applyFont="1" applyFill="1"/>
    <xf numFmtId="43" fontId="2" fillId="0" borderId="0" xfId="0" applyNumberFormat="1" applyFont="1" applyAlignment="1">
      <alignment horizontal="right" vertical="center"/>
    </xf>
    <xf numFmtId="43" fontId="2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vertical="center"/>
    </xf>
    <xf numFmtId="10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right" vertical="center"/>
    </xf>
    <xf numFmtId="43" fontId="2" fillId="6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17" fontId="2" fillId="0" borderId="3" xfId="0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vertical="center"/>
    </xf>
    <xf numFmtId="43" fontId="2" fillId="4" borderId="0" xfId="0" applyNumberFormat="1" applyFont="1" applyFill="1"/>
    <xf numFmtId="49" fontId="2" fillId="0" borderId="1" xfId="0" applyNumberFormat="1" applyFont="1" applyBorder="1" applyAlignment="1">
      <alignment horizontal="center" vertical="center"/>
    </xf>
    <xf numFmtId="43" fontId="2" fillId="4" borderId="1" xfId="0" quotePrefix="1" applyNumberFormat="1" applyFont="1" applyFill="1" applyBorder="1" applyAlignment="1">
      <alignment vertical="center"/>
    </xf>
    <xf numFmtId="43" fontId="2" fillId="4" borderId="3" xfId="0" applyNumberFormat="1" applyFont="1" applyFill="1" applyBorder="1" applyAlignment="1">
      <alignment horizontal="center" vertical="center"/>
    </xf>
    <xf numFmtId="43" fontId="2" fillId="4" borderId="21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/>
    </xf>
    <xf numFmtId="17" fontId="2" fillId="4" borderId="21" xfId="0" applyNumberFormat="1" applyFont="1" applyFill="1" applyBorder="1" applyAlignment="1">
      <alignment horizontal="center" vertical="center"/>
    </xf>
    <xf numFmtId="10" fontId="2" fillId="4" borderId="3" xfId="0" applyNumberFormat="1" applyFont="1" applyFill="1" applyBorder="1" applyAlignment="1">
      <alignment horizontal="center" vertical="center"/>
    </xf>
    <xf numFmtId="10" fontId="2" fillId="4" borderId="21" xfId="0" applyNumberFormat="1" applyFont="1" applyFill="1" applyBorder="1" applyAlignment="1">
      <alignment horizontal="center" vertical="center"/>
    </xf>
    <xf numFmtId="14" fontId="11" fillId="0" borderId="0" xfId="0" applyNumberFormat="1" applyFont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3" fontId="2" fillId="7" borderId="3" xfId="0" applyNumberFormat="1" applyFont="1" applyFill="1" applyBorder="1" applyAlignment="1">
      <alignment horizontal="center" vertical="center"/>
    </xf>
    <xf numFmtId="43" fontId="2" fillId="7" borderId="3" xfId="0" applyNumberFormat="1" applyFont="1" applyFill="1" applyBorder="1" applyAlignment="1">
      <alignment horizontal="right" vertical="center"/>
    </xf>
    <xf numFmtId="43" fontId="2" fillId="7" borderId="1" xfId="0" applyNumberFormat="1" applyFont="1" applyFill="1" applyBorder="1" applyAlignment="1">
      <alignment horizontal="right" vertical="center"/>
    </xf>
    <xf numFmtId="43" fontId="2" fillId="7" borderId="21" xfId="0" applyNumberFormat="1" applyFont="1" applyFill="1" applyBorder="1" applyAlignment="1">
      <alignment horizontal="center" vertical="center"/>
    </xf>
    <xf numFmtId="43" fontId="2" fillId="7" borderId="21" xfId="0" applyNumberFormat="1" applyFont="1" applyFill="1" applyBorder="1" applyAlignment="1">
      <alignment horizontal="right" vertical="center"/>
    </xf>
    <xf numFmtId="43" fontId="2" fillId="7" borderId="3" xfId="0" applyNumberFormat="1" applyFont="1" applyFill="1" applyBorder="1" applyAlignment="1">
      <alignment horizontal="right" vertical="center"/>
    </xf>
    <xf numFmtId="43" fontId="2" fillId="7" borderId="21" xfId="0" applyNumberFormat="1" applyFont="1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FF7575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32470</xdr:colOff>
      <xdr:row>0</xdr:row>
      <xdr:rowOff>0</xdr:rowOff>
    </xdr:from>
    <xdr:to>
      <xdr:col>1</xdr:col>
      <xdr:colOff>914496</xdr:colOff>
      <xdr:row>3</xdr:row>
      <xdr:rowOff>173181</xdr:rowOff>
    </xdr:to>
    <xdr:pic>
      <xdr:nvPicPr>
        <xdr:cNvPr id="2" name="Imagem 1" descr="LOGO SOMAR CORRETA.jpg">
          <a:extLst>
            <a:ext uri="{FF2B5EF4-FFF2-40B4-BE49-F238E27FC236}">
              <a16:creationId xmlns:a16="http://schemas.microsoft.com/office/drawing/2014/main" id="{A2274100-49C9-4B0D-90B9-A72CC9CC3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70" y="0"/>
          <a:ext cx="1748801" cy="773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714375</xdr:colOff>
      <xdr:row>5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28CE74-DE06-4B9F-9F44-50A3FF82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6675"/>
          <a:ext cx="1657350" cy="90487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19051</xdr:colOff>
      <xdr:row>0</xdr:row>
      <xdr:rowOff>47625</xdr:rowOff>
    </xdr:from>
    <xdr:to>
      <xdr:col>8</xdr:col>
      <xdr:colOff>2628901</xdr:colOff>
      <xdr:row>3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7CA72D-3016-46FD-BB51-C84DBB287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6" y="47625"/>
          <a:ext cx="2609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view="pageBreakPreview" zoomScaleNormal="100" zoomScaleSheetLayoutView="100" workbookViewId="0">
      <pane ySplit="8" topLeftCell="A45" activePane="bottomLeft" state="frozen"/>
      <selection pane="bottomLeft" activeCell="M12" sqref="M12:M64"/>
    </sheetView>
  </sheetViews>
  <sheetFormatPr defaultColWidth="9.140625" defaultRowHeight="15" x14ac:dyDescent="0.25"/>
  <cols>
    <col min="1" max="1" width="30.7109375" style="143" customWidth="1"/>
    <col min="2" max="4" width="11.7109375" style="81" customWidth="1"/>
    <col min="5" max="5" width="30.7109375" style="81" customWidth="1"/>
    <col min="6" max="6" width="19.140625" style="81" customWidth="1"/>
    <col min="7" max="7" width="12.7109375" style="81" bestFit="1" customWidth="1"/>
    <col min="8" max="8" width="19.7109375" style="81" customWidth="1"/>
    <col min="9" max="11" width="15.7109375" style="81" customWidth="1"/>
    <col min="12" max="12" width="13.28515625" style="81" customWidth="1"/>
    <col min="13" max="14" width="15.7109375" style="81" customWidth="1"/>
    <col min="15" max="15" width="16.85546875" bestFit="1" customWidth="1"/>
  </cols>
  <sheetData>
    <row r="1" spans="1:15" ht="15" customHeight="1" x14ac:dyDescent="0.25">
      <c r="A1" s="163" t="s">
        <v>410</v>
      </c>
      <c r="B1" s="163"/>
      <c r="C1" s="163"/>
      <c r="D1" s="163"/>
      <c r="E1" s="163"/>
      <c r="F1" s="163"/>
      <c r="G1" s="163"/>
      <c r="H1" s="163"/>
      <c r="I1" s="163"/>
      <c r="J1" s="161"/>
      <c r="K1" s="161"/>
      <c r="L1" s="161"/>
      <c r="M1" s="161"/>
      <c r="N1" s="161"/>
    </row>
    <row r="2" spans="1:15" ht="15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1"/>
      <c r="K2" s="161"/>
      <c r="L2" s="161"/>
      <c r="M2" s="161"/>
      <c r="N2" s="161"/>
    </row>
    <row r="3" spans="1:15" ht="1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1"/>
      <c r="K3" s="161"/>
      <c r="L3" s="161"/>
      <c r="M3" s="161"/>
      <c r="N3" s="161"/>
    </row>
    <row r="4" spans="1:15" ht="9.9499999999999993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2"/>
      <c r="K4" s="162"/>
      <c r="L4" s="162"/>
      <c r="M4" s="162"/>
      <c r="N4" s="162"/>
    </row>
    <row r="5" spans="1:15" s="81" customFormat="1" ht="75" customHeight="1" x14ac:dyDescent="0.25">
      <c r="A5" s="78" t="s">
        <v>0</v>
      </c>
      <c r="B5" s="78" t="s">
        <v>32</v>
      </c>
      <c r="C5" s="78" t="s">
        <v>1</v>
      </c>
      <c r="D5" s="78" t="s">
        <v>99</v>
      </c>
      <c r="E5" s="78" t="s">
        <v>28</v>
      </c>
      <c r="F5" s="78" t="s">
        <v>187</v>
      </c>
      <c r="G5" s="78" t="s">
        <v>126</v>
      </c>
      <c r="H5" s="78" t="s">
        <v>100</v>
      </c>
      <c r="I5" s="78" t="s">
        <v>189</v>
      </c>
      <c r="J5" s="78" t="s">
        <v>184</v>
      </c>
      <c r="K5" s="78" t="s">
        <v>185</v>
      </c>
      <c r="L5" s="78" t="s">
        <v>186</v>
      </c>
      <c r="M5" s="78" t="s">
        <v>401</v>
      </c>
      <c r="N5" s="78" t="s">
        <v>188</v>
      </c>
    </row>
    <row r="6" spans="1:15" s="110" customFormat="1" ht="30" hidden="1" customHeight="1" x14ac:dyDescent="0.25">
      <c r="A6" s="106" t="s">
        <v>59</v>
      </c>
      <c r="B6" s="93" t="s">
        <v>33</v>
      </c>
      <c r="C6" s="93" t="s">
        <v>2</v>
      </c>
      <c r="D6" s="93" t="s">
        <v>101</v>
      </c>
      <c r="E6" s="106" t="s">
        <v>77</v>
      </c>
      <c r="F6" s="104">
        <f>14702968.24+3327070.6</f>
        <v>18030038.84</v>
      </c>
      <c r="G6" s="87">
        <v>15</v>
      </c>
      <c r="H6" s="76" t="s">
        <v>277</v>
      </c>
      <c r="I6" s="77">
        <v>218275.95</v>
      </c>
      <c r="J6" s="104">
        <f>5747609.4+1045456.58+1808336.15+1462832.59+644870.52+797067.59+457696.3+3467218.92+921122.19+704395.86+558632.53+218275.95</f>
        <v>17833514.580000002</v>
      </c>
      <c r="K6" s="104">
        <f>ROUND(F6-J6,2)</f>
        <v>196524.26</v>
      </c>
      <c r="L6" s="107">
        <f t="shared" ref="L6:L12" si="0">J6/F6</f>
        <v>0.98910017544920614</v>
      </c>
      <c r="M6" s="104"/>
      <c r="N6" s="104"/>
      <c r="O6" s="119"/>
    </row>
    <row r="7" spans="1:15" s="110" customFormat="1" ht="45" hidden="1" x14ac:dyDescent="0.25">
      <c r="A7" s="91" t="s">
        <v>144</v>
      </c>
      <c r="B7" s="75" t="s">
        <v>145</v>
      </c>
      <c r="C7" s="75" t="s">
        <v>146</v>
      </c>
      <c r="D7" s="75" t="s">
        <v>148</v>
      </c>
      <c r="E7" s="85" t="s">
        <v>143</v>
      </c>
      <c r="F7" s="77">
        <f>283303.85+105542.9</f>
        <v>388846.75</v>
      </c>
      <c r="G7" s="87">
        <v>4</v>
      </c>
      <c r="H7" s="76" t="s">
        <v>267</v>
      </c>
      <c r="I7" s="77">
        <v>119812.57</v>
      </c>
      <c r="J7" s="77">
        <f>80695.98+93760.53+76305.42+119812.57</f>
        <v>370574.5</v>
      </c>
      <c r="K7" s="77">
        <f t="shared" ref="K7:K68" si="1">ROUND(F7-J7,2)</f>
        <v>18272.25</v>
      </c>
      <c r="L7" s="86">
        <f t="shared" si="0"/>
        <v>0.95300912248848679</v>
      </c>
      <c r="M7" s="79"/>
      <c r="N7" s="79"/>
    </row>
    <row r="8" spans="1:15" s="110" customFormat="1" ht="45" hidden="1" x14ac:dyDescent="0.25">
      <c r="A8" s="91" t="s">
        <v>181</v>
      </c>
      <c r="B8" s="109" t="s">
        <v>179</v>
      </c>
      <c r="C8" s="109" t="s">
        <v>135</v>
      </c>
      <c r="D8" s="109" t="s">
        <v>135</v>
      </c>
      <c r="E8" s="85" t="s">
        <v>180</v>
      </c>
      <c r="F8" s="77">
        <f>11696161.56+2013658.04</f>
        <v>13709819.600000001</v>
      </c>
      <c r="G8" s="87">
        <v>1</v>
      </c>
      <c r="H8" s="76" t="s">
        <v>294</v>
      </c>
      <c r="I8" s="77">
        <v>315660.03999999998</v>
      </c>
      <c r="J8" s="77">
        <f>I8</f>
        <v>315660.03999999998</v>
      </c>
      <c r="K8" s="77">
        <f t="shared" ref="K8:K13" si="2">ROUND(F8-J8,2)</f>
        <v>13394159.560000001</v>
      </c>
      <c r="L8" s="86">
        <f t="shared" si="0"/>
        <v>2.3024375900613597E-2</v>
      </c>
      <c r="M8" s="79"/>
      <c r="N8" s="79"/>
    </row>
    <row r="9" spans="1:15" s="81" customFormat="1" ht="75" x14ac:dyDescent="0.25">
      <c r="A9" s="122" t="s">
        <v>338</v>
      </c>
      <c r="B9" s="145" t="s">
        <v>339</v>
      </c>
      <c r="C9" s="145" t="s">
        <v>340</v>
      </c>
      <c r="D9" s="145" t="s">
        <v>135</v>
      </c>
      <c r="E9" s="123" t="s">
        <v>341</v>
      </c>
      <c r="F9" s="124">
        <v>4345506</v>
      </c>
      <c r="G9" s="125">
        <v>1</v>
      </c>
      <c r="H9" s="126" t="s">
        <v>342</v>
      </c>
      <c r="I9" s="127">
        <v>134492.17000000001</v>
      </c>
      <c r="J9" s="124">
        <f>I9</f>
        <v>134492.17000000001</v>
      </c>
      <c r="K9" s="124">
        <f>ROUND(F9-J9,2)</f>
        <v>4211013.83</v>
      </c>
      <c r="L9" s="128">
        <f t="shared" si="0"/>
        <v>3.0949714486644367E-2</v>
      </c>
      <c r="M9" s="129">
        <v>48067.59</v>
      </c>
      <c r="N9" s="129">
        <f>SUM(M9:M9)</f>
        <v>48067.59</v>
      </c>
    </row>
    <row r="10" spans="1:15" s="81" customFormat="1" ht="45" x14ac:dyDescent="0.25">
      <c r="A10" s="122" t="s">
        <v>310</v>
      </c>
      <c r="B10" s="145" t="s">
        <v>311</v>
      </c>
      <c r="C10" s="145" t="s">
        <v>312</v>
      </c>
      <c r="D10" s="145" t="s">
        <v>135</v>
      </c>
      <c r="E10" s="123" t="s">
        <v>313</v>
      </c>
      <c r="F10" s="124">
        <v>20194331.940000001</v>
      </c>
      <c r="G10" s="125">
        <v>10</v>
      </c>
      <c r="H10" s="126" t="s">
        <v>396</v>
      </c>
      <c r="I10" s="127">
        <v>994963.51</v>
      </c>
      <c r="J10" s="124">
        <f>479949.17+898624.67+460119.42+1105268.46+488803.07+130220.1+1647789.07+1687734.77+1609924.03+933213.72+994963.51</f>
        <v>10436609.99</v>
      </c>
      <c r="K10" s="124">
        <f t="shared" si="2"/>
        <v>9757721.9499999993</v>
      </c>
      <c r="L10" s="128">
        <f t="shared" si="0"/>
        <v>0.51680887592659819</v>
      </c>
      <c r="M10" s="129">
        <f>19124043.25-898624.67-1105268.46-488803.07-1647789.07-1687734.77-1609924.03-933213.72-994963.51</f>
        <v>9757721.9499999974</v>
      </c>
      <c r="N10" s="129">
        <f>SUM(M10:M10)</f>
        <v>9757721.9499999974</v>
      </c>
    </row>
    <row r="11" spans="1:15" s="81" customFormat="1" ht="30" x14ac:dyDescent="0.25">
      <c r="A11" s="122" t="s">
        <v>366</v>
      </c>
      <c r="B11" s="145" t="s">
        <v>367</v>
      </c>
      <c r="C11" s="145" t="s">
        <v>368</v>
      </c>
      <c r="D11" s="145" t="s">
        <v>135</v>
      </c>
      <c r="E11" s="123" t="s">
        <v>369</v>
      </c>
      <c r="F11" s="124">
        <f>3154980.56-154615</f>
        <v>3000365.56</v>
      </c>
      <c r="G11" s="125">
        <v>4</v>
      </c>
      <c r="H11" s="126" t="s">
        <v>402</v>
      </c>
      <c r="I11" s="127">
        <v>1645177.3</v>
      </c>
      <c r="J11" s="124">
        <f>104784.13+84049.71+977299.88+1645177.3</f>
        <v>2811311.02</v>
      </c>
      <c r="K11" s="124">
        <f>ROUND(F11-J11,2)</f>
        <v>189054.54</v>
      </c>
      <c r="L11" s="128">
        <f t="shared" ref="L11" si="3">J11/F11</f>
        <v>0.93698949803969889</v>
      </c>
      <c r="M11" s="137">
        <f>3000365.56-104784.13-84049.71-977299.88-1645177.3</f>
        <v>189054.54000000027</v>
      </c>
      <c r="N11" s="129">
        <f>SUM(M11:M11)</f>
        <v>189054.54000000027</v>
      </c>
    </row>
    <row r="12" spans="1:15" s="81" customFormat="1" ht="60" x14ac:dyDescent="0.25">
      <c r="A12" s="122" t="s">
        <v>316</v>
      </c>
      <c r="B12" s="145" t="s">
        <v>317</v>
      </c>
      <c r="C12" s="145" t="s">
        <v>318</v>
      </c>
      <c r="D12" s="145"/>
      <c r="E12" s="123" t="s">
        <v>319</v>
      </c>
      <c r="F12" s="124">
        <v>87983243.099999994</v>
      </c>
      <c r="G12" s="125">
        <v>14</v>
      </c>
      <c r="H12" s="126" t="s">
        <v>404</v>
      </c>
      <c r="I12" s="127">
        <v>880978.83</v>
      </c>
      <c r="J12" s="124">
        <f>512470.4+444843.49+717564.33+2078679.2+2028020.52+1000510.53+3958029.73+3043282.42+3959481.41+3221548.12+4498780.09+2970269.91+3726602.57+880978.83</f>
        <v>33041061.550000001</v>
      </c>
      <c r="K12" s="124">
        <f t="shared" si="2"/>
        <v>54942181.549999997</v>
      </c>
      <c r="L12" s="128">
        <f t="shared" si="0"/>
        <v>0.37553811823515293</v>
      </c>
      <c r="M12" s="188">
        <f>86308364.88-2078679.2-2028020.52-1000510.53-3958029.73-3043282.42-3959481.41-3221548.12-4498780.09-2970269.91-3726602.57-880978.83</f>
        <v>54942181.550000004</v>
      </c>
      <c r="N12" s="129">
        <f>SUM(M12:M12)</f>
        <v>54942181.550000004</v>
      </c>
    </row>
    <row r="13" spans="1:15" s="110" customFormat="1" ht="45" hidden="1" customHeight="1" x14ac:dyDescent="0.25">
      <c r="A13" s="103" t="s">
        <v>60</v>
      </c>
      <c r="B13" s="117" t="s">
        <v>157</v>
      </c>
      <c r="C13" s="117" t="s">
        <v>158</v>
      </c>
      <c r="D13" s="118" t="s">
        <v>170</v>
      </c>
      <c r="E13" s="103" t="s">
        <v>159</v>
      </c>
      <c r="F13" s="104">
        <f>7852866.9+104703.42+26994.03+288311.26</f>
        <v>8272875.6100000003</v>
      </c>
      <c r="G13" s="101">
        <v>11</v>
      </c>
      <c r="H13" s="76" t="s">
        <v>281</v>
      </c>
      <c r="I13" s="77">
        <v>414515.91999999993</v>
      </c>
      <c r="J13" s="104">
        <f>266735.27+313100.07+525143.87+1244215.19+1068230.11+866562.38+370230.24+107574.84+417260.2+953791.68+1500511.61+414515.92</f>
        <v>8047871.3799999999</v>
      </c>
      <c r="K13" s="104">
        <f t="shared" si="2"/>
        <v>225004.23</v>
      </c>
      <c r="L13" s="107">
        <f t="shared" ref="L13" si="4">J13/F13</f>
        <v>0.97280217416444381</v>
      </c>
      <c r="M13" s="189" t="s">
        <v>135</v>
      </c>
      <c r="N13" s="104">
        <f>SUM(M13:M13)</f>
        <v>0</v>
      </c>
    </row>
    <row r="14" spans="1:15" s="110" customFormat="1" ht="60" hidden="1" x14ac:dyDescent="0.25">
      <c r="A14" s="91" t="s">
        <v>60</v>
      </c>
      <c r="B14" s="109" t="s">
        <v>176</v>
      </c>
      <c r="C14" s="109" t="s">
        <v>135</v>
      </c>
      <c r="D14" s="109" t="s">
        <v>135</v>
      </c>
      <c r="E14" s="85" t="s">
        <v>175</v>
      </c>
      <c r="F14" s="77">
        <f>9341654.9+1617859.26+1811319.83</f>
        <v>12770833.99</v>
      </c>
      <c r="G14" s="87">
        <v>10</v>
      </c>
      <c r="H14" s="76" t="s">
        <v>332</v>
      </c>
      <c r="I14" s="77">
        <v>36307.65</v>
      </c>
      <c r="J14" s="77">
        <f>132540.08+733343.16+1637415.57+1980866.59+1695833.72+4594703.2+1335016.7+176937.61+180031.48+36307.65</f>
        <v>12502995.76</v>
      </c>
      <c r="K14" s="77">
        <f t="shared" si="1"/>
        <v>267838.23</v>
      </c>
      <c r="L14" s="86">
        <f>J14/F14</f>
        <v>0.97902735011591824</v>
      </c>
      <c r="M14" s="190" t="s">
        <v>135</v>
      </c>
      <c r="N14" s="79">
        <f>SUM(M14:M14)</f>
        <v>0</v>
      </c>
    </row>
    <row r="15" spans="1:15" s="88" customFormat="1" ht="45" hidden="1" customHeight="1" x14ac:dyDescent="0.25">
      <c r="A15" s="155" t="s">
        <v>60</v>
      </c>
      <c r="B15" s="157" t="s">
        <v>34</v>
      </c>
      <c r="C15" s="157" t="s">
        <v>3</v>
      </c>
      <c r="D15" s="157" t="s">
        <v>102</v>
      </c>
      <c r="E15" s="155" t="s">
        <v>78</v>
      </c>
      <c r="F15" s="150">
        <f>16350862.61+286311.06</f>
        <v>16637173.67</v>
      </c>
      <c r="G15" s="101" t="s">
        <v>257</v>
      </c>
      <c r="H15" s="76" t="s">
        <v>258</v>
      </c>
      <c r="I15" s="77">
        <v>165143.95000000001</v>
      </c>
      <c r="J15" s="150">
        <f>8263521.54+452030.58+1128218.85+516539.32+185342.15+651023.84+791797.48+552532.79+166786.62+956710.66-165143.95</f>
        <v>13499359.880000001</v>
      </c>
      <c r="K15" s="150">
        <f t="shared" si="1"/>
        <v>3137813.79</v>
      </c>
      <c r="L15" s="159">
        <f t="shared" ref="L15:L65" si="5">J15/F15</f>
        <v>0.81139742529357162</v>
      </c>
      <c r="M15" s="188"/>
      <c r="N15" s="150">
        <f>SUM(M15:M15)</f>
        <v>0</v>
      </c>
    </row>
    <row r="16" spans="1:15" s="88" customFormat="1" ht="30" hidden="1" customHeight="1" x14ac:dyDescent="0.25">
      <c r="A16" s="156"/>
      <c r="B16" s="158"/>
      <c r="C16" s="158"/>
      <c r="D16" s="158"/>
      <c r="E16" s="156"/>
      <c r="F16" s="151"/>
      <c r="G16" s="101" t="s">
        <v>260</v>
      </c>
      <c r="H16" s="76" t="s">
        <v>258</v>
      </c>
      <c r="I16" s="77">
        <v>956710.66</v>
      </c>
      <c r="J16" s="151"/>
      <c r="K16" s="151"/>
      <c r="L16" s="160"/>
      <c r="M16" s="191"/>
      <c r="N16" s="151">
        <f>SUM(M16:M16)</f>
        <v>0</v>
      </c>
    </row>
    <row r="17" spans="1:14" s="81" customFormat="1" ht="60" customHeight="1" x14ac:dyDescent="0.25">
      <c r="A17" s="123" t="s">
        <v>60</v>
      </c>
      <c r="B17" s="145" t="s">
        <v>307</v>
      </c>
      <c r="C17" s="145" t="s">
        <v>308</v>
      </c>
      <c r="D17" s="146"/>
      <c r="E17" s="123" t="s">
        <v>309</v>
      </c>
      <c r="F17" s="129">
        <f>24446845.47+3130847.11+795611.39</f>
        <v>28373303.969999999</v>
      </c>
      <c r="G17" s="138">
        <v>14</v>
      </c>
      <c r="H17" s="126" t="s">
        <v>405</v>
      </c>
      <c r="I17" s="127">
        <v>769684.46</v>
      </c>
      <c r="J17" s="129">
        <f>127886.92+124608.78+777032.55+1469569.82+2086008.29+2117924.27+1731776.72+1456834.26+3743666.76+3750997.12+1542070.08+918464.87+1215840.59+1357760.21+769684.46</f>
        <v>23190125.700000003</v>
      </c>
      <c r="K17" s="129">
        <f t="shared" ref="K17" si="6">ROUND(F17-J17,2)</f>
        <v>5183178.2699999996</v>
      </c>
      <c r="L17" s="128">
        <f t="shared" ref="L17" si="7">J17/F17</f>
        <v>0.81732200537941102</v>
      </c>
      <c r="M17" s="189">
        <f>32648748.11-777032.55-1469569.82-2086008.29-2117924.27-1731776.72-1456834.26-3743666.76-3750997.12-1542070.08-918464.87-1215840.59-1357760.21-769684.46</f>
        <v>9711118.1099999957</v>
      </c>
      <c r="N17" s="129">
        <f>SUM(M17:M17)</f>
        <v>9711118.1099999957</v>
      </c>
    </row>
    <row r="18" spans="1:14" s="110" customFormat="1" ht="60" hidden="1" customHeight="1" x14ac:dyDescent="0.25">
      <c r="A18" s="106" t="s">
        <v>333</v>
      </c>
      <c r="B18" s="117" t="s">
        <v>334</v>
      </c>
      <c r="C18" s="117" t="s">
        <v>335</v>
      </c>
      <c r="D18" s="117" t="s">
        <v>336</v>
      </c>
      <c r="E18" s="103" t="s">
        <v>337</v>
      </c>
      <c r="F18" s="105">
        <v>53000</v>
      </c>
      <c r="G18" s="101">
        <v>1</v>
      </c>
      <c r="H18" s="126" t="s">
        <v>391</v>
      </c>
      <c r="I18" s="77">
        <v>53000</v>
      </c>
      <c r="J18" s="105">
        <f>I18</f>
        <v>53000</v>
      </c>
      <c r="K18" s="105">
        <f t="shared" ref="K18" si="8">ROUND(F18-J18,2)</f>
        <v>0</v>
      </c>
      <c r="L18" s="107">
        <f t="shared" ref="L18" si="9">J18/F18</f>
        <v>1</v>
      </c>
      <c r="M18" s="189"/>
      <c r="N18" s="105">
        <f>SUM(M18:M18)</f>
        <v>0</v>
      </c>
    </row>
    <row r="19" spans="1:14" s="110" customFormat="1" ht="255" hidden="1" x14ac:dyDescent="0.25">
      <c r="A19" s="91" t="s">
        <v>136</v>
      </c>
      <c r="B19" s="109" t="s">
        <v>137</v>
      </c>
      <c r="C19" s="109" t="s">
        <v>138</v>
      </c>
      <c r="D19" s="109" t="s">
        <v>147</v>
      </c>
      <c r="E19" s="85" t="s">
        <v>139</v>
      </c>
      <c r="F19" s="77">
        <v>1289116.73</v>
      </c>
      <c r="G19" s="87">
        <v>3</v>
      </c>
      <c r="H19" s="126" t="s">
        <v>392</v>
      </c>
      <c r="I19" s="77">
        <v>222969.50999999998</v>
      </c>
      <c r="J19" s="77">
        <f>427116.68+428098.17+222969.51</f>
        <v>1078184.3599999999</v>
      </c>
      <c r="K19" s="77">
        <f t="shared" si="1"/>
        <v>210932.37</v>
      </c>
      <c r="L19" s="86">
        <f t="shared" ref="L19:L21" si="10">J19/F19</f>
        <v>0.83637449961571741</v>
      </c>
      <c r="M19" s="190"/>
      <c r="N19" s="79">
        <f>SUM(M19:M19)</f>
        <v>0</v>
      </c>
    </row>
    <row r="20" spans="1:14" s="81" customFormat="1" ht="60" x14ac:dyDescent="0.25">
      <c r="A20" s="132" t="s">
        <v>385</v>
      </c>
      <c r="B20" s="133" t="s">
        <v>386</v>
      </c>
      <c r="C20" s="133" t="s">
        <v>387</v>
      </c>
      <c r="D20" s="133" t="s">
        <v>388</v>
      </c>
      <c r="E20" s="134" t="s">
        <v>389</v>
      </c>
      <c r="F20" s="127">
        <v>229302.32</v>
      </c>
      <c r="G20" s="125" t="s">
        <v>390</v>
      </c>
      <c r="H20" s="126" t="s">
        <v>393</v>
      </c>
      <c r="I20" s="127">
        <v>32996.78</v>
      </c>
      <c r="J20" s="127">
        <f>40442+31357.5+32996.78</f>
        <v>104796.28</v>
      </c>
      <c r="K20" s="127">
        <f t="shared" si="1"/>
        <v>124506.04</v>
      </c>
      <c r="L20" s="135">
        <f t="shared" si="10"/>
        <v>0.457022327554296</v>
      </c>
      <c r="M20" s="190">
        <v>124506.04</v>
      </c>
      <c r="N20" s="136">
        <f>SUM(M20:M20)</f>
        <v>124506.04</v>
      </c>
    </row>
    <row r="21" spans="1:14" s="110" customFormat="1" ht="45" hidden="1" x14ac:dyDescent="0.25">
      <c r="A21" s="91" t="s">
        <v>150</v>
      </c>
      <c r="B21" s="75" t="s">
        <v>151</v>
      </c>
      <c r="C21" s="75" t="s">
        <v>152</v>
      </c>
      <c r="D21" s="75" t="s">
        <v>156</v>
      </c>
      <c r="E21" s="85" t="s">
        <v>154</v>
      </c>
      <c r="F21" s="77">
        <v>5482</v>
      </c>
      <c r="G21" s="87">
        <v>1</v>
      </c>
      <c r="H21" s="76" t="s">
        <v>153</v>
      </c>
      <c r="I21" s="77">
        <v>4270</v>
      </c>
      <c r="J21" s="77">
        <v>4270</v>
      </c>
      <c r="K21" s="77">
        <f t="shared" si="1"/>
        <v>1212</v>
      </c>
      <c r="L21" s="86">
        <f t="shared" si="10"/>
        <v>0.77891280554542142</v>
      </c>
      <c r="M21" s="190"/>
      <c r="N21" s="79">
        <f>SUM(M21:M21)</f>
        <v>0</v>
      </c>
    </row>
    <row r="22" spans="1:14" s="110" customFormat="1" hidden="1" x14ac:dyDescent="0.25">
      <c r="A22" s="91" t="s">
        <v>61</v>
      </c>
      <c r="B22" s="75" t="s">
        <v>35</v>
      </c>
      <c r="C22" s="75" t="s">
        <v>6</v>
      </c>
      <c r="D22" s="75" t="s">
        <v>103</v>
      </c>
      <c r="E22" s="85" t="s">
        <v>79</v>
      </c>
      <c r="F22" s="77">
        <v>543686.26</v>
      </c>
      <c r="G22" s="87">
        <v>8</v>
      </c>
      <c r="H22" s="76" t="s">
        <v>127</v>
      </c>
      <c r="I22" s="77">
        <v>34622.89</v>
      </c>
      <c r="J22" s="77">
        <v>518382.09</v>
      </c>
      <c r="K22" s="77">
        <f t="shared" si="1"/>
        <v>25304.17</v>
      </c>
      <c r="L22" s="86">
        <f t="shared" si="5"/>
        <v>0.9534581396263353</v>
      </c>
      <c r="M22" s="190" t="s">
        <v>135</v>
      </c>
      <c r="N22" s="79">
        <f>SUM(M22:M22)</f>
        <v>0</v>
      </c>
    </row>
    <row r="23" spans="1:14" s="88" customFormat="1" ht="30" hidden="1" customHeight="1" x14ac:dyDescent="0.25">
      <c r="A23" s="106" t="s">
        <v>18</v>
      </c>
      <c r="B23" s="102" t="s">
        <v>36</v>
      </c>
      <c r="C23" s="93" t="s">
        <v>19</v>
      </c>
      <c r="D23" s="102" t="s">
        <v>104</v>
      </c>
      <c r="E23" s="103" t="s">
        <v>80</v>
      </c>
      <c r="F23" s="104">
        <f>10751426.94+405022.55</f>
        <v>11156449.49</v>
      </c>
      <c r="G23" s="87">
        <v>27</v>
      </c>
      <c r="H23" s="76" t="s">
        <v>268</v>
      </c>
      <c r="I23" s="77">
        <v>1670643.13</v>
      </c>
      <c r="J23" s="104">
        <f>1225836.21+1101788.22+455901.47+1443648.42+1462650.27+425378.78+117207.99+962081.07+356287.54+1670643.13</f>
        <v>9221423.1000000015</v>
      </c>
      <c r="K23" s="104">
        <f>ROUND(F23-J23,2)</f>
        <v>1935026.39</v>
      </c>
      <c r="L23" s="107">
        <f t="shared" si="5"/>
        <v>0.82655535780138245</v>
      </c>
      <c r="M23" s="189"/>
      <c r="N23" s="104">
        <f>SUM(M23:M23)</f>
        <v>0</v>
      </c>
    </row>
    <row r="24" spans="1:14" s="110" customFormat="1" ht="30" hidden="1" customHeight="1" x14ac:dyDescent="0.25">
      <c r="A24" s="106" t="s">
        <v>282</v>
      </c>
      <c r="B24" s="93" t="s">
        <v>283</v>
      </c>
      <c r="C24" s="93" t="s">
        <v>284</v>
      </c>
      <c r="D24" s="102"/>
      <c r="E24" s="103" t="s">
        <v>285</v>
      </c>
      <c r="F24" s="104">
        <v>539760</v>
      </c>
      <c r="G24" s="87">
        <v>2</v>
      </c>
      <c r="H24" s="76" t="s">
        <v>287</v>
      </c>
      <c r="I24" s="77">
        <v>255500</v>
      </c>
      <c r="J24" s="104">
        <f>284260+255500</f>
        <v>539760</v>
      </c>
      <c r="K24" s="104">
        <f>ROUND(F24-J24,2)</f>
        <v>0</v>
      </c>
      <c r="L24" s="107">
        <f t="shared" ref="L24" si="11">J24/F24</f>
        <v>1</v>
      </c>
      <c r="M24" s="189"/>
      <c r="N24" s="104">
        <f>SUM(M24:M24)</f>
        <v>0</v>
      </c>
    </row>
    <row r="25" spans="1:14" s="110" customFormat="1" ht="75" hidden="1" customHeight="1" x14ac:dyDescent="0.25">
      <c r="A25" s="106" t="s">
        <v>62</v>
      </c>
      <c r="B25" s="93" t="s">
        <v>37</v>
      </c>
      <c r="C25" s="93" t="s">
        <v>15</v>
      </c>
      <c r="D25" s="93" t="s">
        <v>106</v>
      </c>
      <c r="E25" s="106" t="s">
        <v>169</v>
      </c>
      <c r="F25" s="105">
        <f>35121169.36+7989018.83+1557817.46</f>
        <v>44668005.649999999</v>
      </c>
      <c r="G25" s="87">
        <v>20</v>
      </c>
      <c r="H25" s="76" t="s">
        <v>321</v>
      </c>
      <c r="I25" s="77">
        <v>323819.09000000003</v>
      </c>
      <c r="J25" s="105">
        <f>21777588.17+310732.07+828687.03+806676.82+933059+923402.66+854104.66+526499.85+888645.99+605861.62+892160.07+717637.76+956813.21+805778.88+721595.41+750950.19+661353.94+660154.81+268397.88+944313.85+779511.94+960528.35+635251.88+688760.36+903413.29+486387.23+323819.09</f>
        <v>40612086.010000013</v>
      </c>
      <c r="K25" s="105">
        <f t="shared" si="1"/>
        <v>4055919.64</v>
      </c>
      <c r="L25" s="107">
        <f t="shared" si="5"/>
        <v>0.90919855093194679</v>
      </c>
      <c r="M25" s="189" t="s">
        <v>135</v>
      </c>
      <c r="N25" s="105">
        <f>SUM(M25:M25)</f>
        <v>0</v>
      </c>
    </row>
    <row r="26" spans="1:14" s="81" customFormat="1" ht="75" customHeight="1" x14ac:dyDescent="0.25">
      <c r="A26" s="122" t="s">
        <v>62</v>
      </c>
      <c r="B26" s="130" t="s">
        <v>353</v>
      </c>
      <c r="C26" s="130" t="s">
        <v>354</v>
      </c>
      <c r="D26" s="130" t="s">
        <v>355</v>
      </c>
      <c r="E26" s="122" t="s">
        <v>352</v>
      </c>
      <c r="F26" s="129">
        <v>38064539.540000007</v>
      </c>
      <c r="G26" s="125">
        <v>12</v>
      </c>
      <c r="H26" s="126" t="s">
        <v>397</v>
      </c>
      <c r="I26" s="127">
        <v>1038118.97</v>
      </c>
      <c r="J26" s="129">
        <f>975817.42+617686.52+547244.41+1066108.93+1963757.28+1097839.73+1794467.93+2051676.26+1209721.06+838164.52+2928910.65+1038118.97</f>
        <v>16129513.680000002</v>
      </c>
      <c r="K26" s="129">
        <f t="shared" si="1"/>
        <v>21935025.859999999</v>
      </c>
      <c r="L26" s="128">
        <f t="shared" si="5"/>
        <v>0.42374120046954333</v>
      </c>
      <c r="M26" s="189">
        <f>37022881.9-975817.42-617686.52-547244.41-1066108.93-1963757.28-1097839.73-1794467.93-2051676.26-1209721.06-838164.52-928910.65-1038118.97</f>
        <v>22893368.219999999</v>
      </c>
      <c r="N26" s="129">
        <f>SUM(M26:M26)</f>
        <v>22893368.219999999</v>
      </c>
    </row>
    <row r="27" spans="1:14" s="110" customFormat="1" ht="60" hidden="1" x14ac:dyDescent="0.25">
      <c r="A27" s="91" t="s">
        <v>62</v>
      </c>
      <c r="B27" s="75" t="s">
        <v>38</v>
      </c>
      <c r="C27" s="75" t="s">
        <v>20</v>
      </c>
      <c r="D27" s="75" t="s">
        <v>149</v>
      </c>
      <c r="E27" s="85" t="s">
        <v>264</v>
      </c>
      <c r="F27" s="77">
        <f>13044907.38+1022707.2</f>
        <v>14067614.58</v>
      </c>
      <c r="G27" s="87">
        <v>12</v>
      </c>
      <c r="H27" s="76" t="s">
        <v>291</v>
      </c>
      <c r="I27" s="77">
        <v>370574.29</v>
      </c>
      <c r="J27" s="77">
        <f>1136173.39+1339510.78+1359869.49+1494656.57+1651333.14+1572873.85+1372021.9+1291173.39+911519.67+695969.76+450843.72+370574.29</f>
        <v>13646519.950000001</v>
      </c>
      <c r="K27" s="77">
        <f>ROUND(F27-J27,2)</f>
        <v>421094.63</v>
      </c>
      <c r="L27" s="86">
        <f t="shared" ref="L27" si="12">J27/F27</f>
        <v>0.97006637993916389</v>
      </c>
      <c r="M27" s="190"/>
      <c r="N27" s="79">
        <f>SUM(M27:M27)</f>
        <v>0</v>
      </c>
    </row>
    <row r="28" spans="1:14" s="81" customFormat="1" ht="60" x14ac:dyDescent="0.25">
      <c r="A28" s="132" t="s">
        <v>62</v>
      </c>
      <c r="B28" s="82" t="s">
        <v>382</v>
      </c>
      <c r="C28" s="82" t="s">
        <v>383</v>
      </c>
      <c r="D28" s="82" t="s">
        <v>135</v>
      </c>
      <c r="E28" s="134" t="s">
        <v>264</v>
      </c>
      <c r="F28" s="127">
        <v>19263136.260000002</v>
      </c>
      <c r="G28" s="125">
        <v>2</v>
      </c>
      <c r="H28" s="126" t="s">
        <v>406</v>
      </c>
      <c r="I28" s="127">
        <v>1416136</v>
      </c>
      <c r="J28" s="127">
        <f>1595899+1416136</f>
        <v>3012035</v>
      </c>
      <c r="K28" s="127">
        <f>ROUND(F28-J28,2)</f>
        <v>16251101.26</v>
      </c>
      <c r="L28" s="135">
        <f t="shared" ref="L28" si="13">J28/F28</f>
        <v>0.15636264829079291</v>
      </c>
      <c r="M28" s="190">
        <f>19064651.55-1595899-1416136</f>
        <v>16052616.550000001</v>
      </c>
      <c r="N28" s="136">
        <f>SUM(M28:M28)</f>
        <v>16052616.550000001</v>
      </c>
    </row>
    <row r="29" spans="1:14" s="110" customFormat="1" ht="75" hidden="1" customHeight="1" x14ac:dyDescent="0.25">
      <c r="A29" s="155" t="s">
        <v>62</v>
      </c>
      <c r="B29" s="152" t="s">
        <v>39</v>
      </c>
      <c r="C29" s="152" t="s">
        <v>21</v>
      </c>
      <c r="D29" s="152" t="s">
        <v>107</v>
      </c>
      <c r="E29" s="155" t="s">
        <v>81</v>
      </c>
      <c r="F29" s="150">
        <v>11298335.449999999</v>
      </c>
      <c r="G29" s="87">
        <v>13</v>
      </c>
      <c r="H29" s="76" t="s">
        <v>265</v>
      </c>
      <c r="I29" s="77">
        <v>244868.27</v>
      </c>
      <c r="J29" s="150">
        <f>7648840.28+879457.33+244868.27+157026.79</f>
        <v>8930192.6699999981</v>
      </c>
      <c r="K29" s="150">
        <f t="shared" si="1"/>
        <v>2368142.7799999998</v>
      </c>
      <c r="L29" s="159">
        <f t="shared" si="5"/>
        <v>0.79039896713280877</v>
      </c>
      <c r="M29" s="189"/>
      <c r="N29" s="150">
        <f>SUM(M29:M29)</f>
        <v>0</v>
      </c>
    </row>
    <row r="30" spans="1:14" s="110" customFormat="1" ht="20.100000000000001" hidden="1" customHeight="1" x14ac:dyDescent="0.25">
      <c r="A30" s="156"/>
      <c r="B30" s="153"/>
      <c r="C30" s="153"/>
      <c r="D30" s="153"/>
      <c r="E30" s="156"/>
      <c r="F30" s="151"/>
      <c r="G30" s="87">
        <v>14</v>
      </c>
      <c r="H30" s="76" t="s">
        <v>266</v>
      </c>
      <c r="I30" s="77">
        <v>157026.79</v>
      </c>
      <c r="J30" s="151"/>
      <c r="K30" s="151"/>
      <c r="L30" s="160"/>
      <c r="M30" s="192"/>
      <c r="N30" s="151">
        <f>SUM(M30:M30)</f>
        <v>0</v>
      </c>
    </row>
    <row r="31" spans="1:14" s="110" customFormat="1" ht="30" hidden="1" x14ac:dyDescent="0.25">
      <c r="A31" s="91" t="s">
        <v>62</v>
      </c>
      <c r="B31" s="75" t="s">
        <v>40</v>
      </c>
      <c r="C31" s="75" t="s">
        <v>22</v>
      </c>
      <c r="D31" s="75" t="s">
        <v>105</v>
      </c>
      <c r="E31" s="85" t="s">
        <v>82</v>
      </c>
      <c r="F31" s="77">
        <v>12274746.08</v>
      </c>
      <c r="G31" s="87">
        <v>19</v>
      </c>
      <c r="H31" s="76" t="s">
        <v>128</v>
      </c>
      <c r="I31" s="77">
        <v>121325.47</v>
      </c>
      <c r="J31" s="77">
        <v>11136083.48</v>
      </c>
      <c r="K31" s="77">
        <f t="shared" si="1"/>
        <v>1138662.6000000001</v>
      </c>
      <c r="L31" s="86">
        <f t="shared" si="5"/>
        <v>0.90723534380435844</v>
      </c>
      <c r="M31" s="190" t="s">
        <v>135</v>
      </c>
      <c r="N31" s="79">
        <f>SUM(M31:M31)</f>
        <v>0</v>
      </c>
    </row>
    <row r="32" spans="1:14" s="110" customFormat="1" ht="60" hidden="1" x14ac:dyDescent="0.25">
      <c r="A32" s="91" t="s">
        <v>62</v>
      </c>
      <c r="B32" s="75" t="s">
        <v>41</v>
      </c>
      <c r="C32" s="75" t="s">
        <v>23</v>
      </c>
      <c r="D32" s="75" t="s">
        <v>108</v>
      </c>
      <c r="E32" s="85" t="s">
        <v>83</v>
      </c>
      <c r="F32" s="77">
        <v>3229845.48</v>
      </c>
      <c r="G32" s="87">
        <v>4</v>
      </c>
      <c r="H32" s="76" t="s">
        <v>129</v>
      </c>
      <c r="I32" s="77">
        <v>423725.9</v>
      </c>
      <c r="J32" s="77">
        <v>1879623.88</v>
      </c>
      <c r="K32" s="77">
        <f t="shared" si="1"/>
        <v>1350221.6</v>
      </c>
      <c r="L32" s="86">
        <f t="shared" si="5"/>
        <v>0.58195473797093222</v>
      </c>
      <c r="M32" s="190" t="s">
        <v>135</v>
      </c>
      <c r="N32" s="79">
        <f>SUM(M32:M32)</f>
        <v>0</v>
      </c>
    </row>
    <row r="33" spans="1:15" s="110" customFormat="1" ht="45" hidden="1" x14ac:dyDescent="0.25">
      <c r="A33" s="91" t="s">
        <v>62</v>
      </c>
      <c r="B33" s="75" t="s">
        <v>42</v>
      </c>
      <c r="C33" s="75" t="s">
        <v>27</v>
      </c>
      <c r="D33" s="75" t="s">
        <v>168</v>
      </c>
      <c r="E33" s="85" t="s">
        <v>84</v>
      </c>
      <c r="F33" s="77">
        <v>974545.1</v>
      </c>
      <c r="G33" s="87">
        <v>2</v>
      </c>
      <c r="H33" s="76" t="s">
        <v>130</v>
      </c>
      <c r="I33" s="77">
        <v>335560.78</v>
      </c>
      <c r="J33" s="77">
        <v>530769.82999999996</v>
      </c>
      <c r="K33" s="77">
        <f t="shared" si="1"/>
        <v>443775.27</v>
      </c>
      <c r="L33" s="86">
        <f t="shared" si="5"/>
        <v>0.54463341922297903</v>
      </c>
      <c r="M33" s="190" t="s">
        <v>135</v>
      </c>
      <c r="N33" s="79">
        <f>SUM(M33:M33)</f>
        <v>0</v>
      </c>
    </row>
    <row r="34" spans="1:15" s="81" customFormat="1" ht="75" x14ac:dyDescent="0.25">
      <c r="A34" s="132" t="s">
        <v>62</v>
      </c>
      <c r="B34" s="82" t="s">
        <v>379</v>
      </c>
      <c r="C34" s="82" t="s">
        <v>380</v>
      </c>
      <c r="D34" s="82" t="s">
        <v>135</v>
      </c>
      <c r="E34" s="134" t="s">
        <v>381</v>
      </c>
      <c r="F34" s="127">
        <v>11556548.74</v>
      </c>
      <c r="G34" s="125">
        <v>3</v>
      </c>
      <c r="H34" s="126" t="s">
        <v>406</v>
      </c>
      <c r="I34" s="127">
        <v>154367.9</v>
      </c>
      <c r="J34" s="127">
        <f>264546.01+331614.11+154367.9</f>
        <v>750528.02</v>
      </c>
      <c r="K34" s="127">
        <f>ROUND(F34-J34,2)</f>
        <v>10806020.720000001</v>
      </c>
      <c r="L34" s="135">
        <f t="shared" si="5"/>
        <v>6.494395834651237E-2</v>
      </c>
      <c r="M34" s="190">
        <f>7317964.53-331614.11-154367.9</f>
        <v>6831982.5199999996</v>
      </c>
      <c r="N34" s="136">
        <f>SUM(M34:M34)</f>
        <v>6831982.5199999996</v>
      </c>
    </row>
    <row r="35" spans="1:15" s="81" customFormat="1" ht="30" x14ac:dyDescent="0.25">
      <c r="A35" s="122" t="s">
        <v>18</v>
      </c>
      <c r="B35" s="130" t="s">
        <v>375</v>
      </c>
      <c r="C35" s="130" t="s">
        <v>376</v>
      </c>
      <c r="D35" s="130" t="s">
        <v>377</v>
      </c>
      <c r="E35" s="123" t="s">
        <v>374</v>
      </c>
      <c r="F35" s="124">
        <f>27692970-287223.25+2579540.9+131820.49</f>
        <v>30117108.139999997</v>
      </c>
      <c r="G35" s="125">
        <v>6</v>
      </c>
      <c r="H35" s="126" t="s">
        <v>406</v>
      </c>
      <c r="I35" s="127">
        <v>1354134.81</v>
      </c>
      <c r="J35" s="127">
        <f>1569045.9+904253.48+1066022.09+997308.06+482936.79+1354134.81</f>
        <v>6373701.129999999</v>
      </c>
      <c r="K35" s="127">
        <f>ROUND(F35-J35,2)</f>
        <v>23743407.010000002</v>
      </c>
      <c r="L35" s="135">
        <f t="shared" si="5"/>
        <v>0.21163058220502839</v>
      </c>
      <c r="M35" s="190">
        <f>10968189.42-997308.06-482936.79-1354134.81</f>
        <v>8133809.7599999998</v>
      </c>
      <c r="N35" s="136">
        <f>SUM(M35:M35)</f>
        <v>8133809.7599999998</v>
      </c>
    </row>
    <row r="36" spans="1:15" s="81" customFormat="1" ht="75" x14ac:dyDescent="0.25">
      <c r="A36" s="122" t="s">
        <v>343</v>
      </c>
      <c r="B36" s="130" t="s">
        <v>345</v>
      </c>
      <c r="C36" s="130" t="s">
        <v>346</v>
      </c>
      <c r="D36" s="130"/>
      <c r="E36" s="123" t="s">
        <v>344</v>
      </c>
      <c r="F36" s="124">
        <v>1733137.8200000015</v>
      </c>
      <c r="G36" s="125">
        <v>1</v>
      </c>
      <c r="H36" s="126" t="s">
        <v>371</v>
      </c>
      <c r="I36" s="127">
        <v>106437.87</v>
      </c>
      <c r="J36" s="127">
        <v>106437.87</v>
      </c>
      <c r="K36" s="127">
        <f>ROUND(F36-J36,2)</f>
        <v>1626699.95</v>
      </c>
      <c r="L36" s="135">
        <f t="shared" si="5"/>
        <v>6.1413390655799031E-2</v>
      </c>
      <c r="M36" s="190">
        <f>1733137.82-106437.87</f>
        <v>1626699.9500000002</v>
      </c>
      <c r="N36" s="136">
        <f>SUM(M36:M36)</f>
        <v>1626699.9500000002</v>
      </c>
    </row>
    <row r="37" spans="1:15" s="110" customFormat="1" ht="46.5" hidden="1" customHeight="1" x14ac:dyDescent="0.25">
      <c r="A37" s="155" t="s">
        <v>63</v>
      </c>
      <c r="B37" s="152" t="s">
        <v>43</v>
      </c>
      <c r="C37" s="152" t="s">
        <v>8</v>
      </c>
      <c r="D37" s="152" t="s">
        <v>109</v>
      </c>
      <c r="E37" s="155" t="s">
        <v>85</v>
      </c>
      <c r="F37" s="150">
        <f>14868180.36+181357.2</f>
        <v>15049537.559999999</v>
      </c>
      <c r="G37" s="87">
        <v>17</v>
      </c>
      <c r="H37" s="76" t="s">
        <v>259</v>
      </c>
      <c r="I37" s="77">
        <v>420635.31</v>
      </c>
      <c r="J37" s="150">
        <f>14099214.37+420635.31+139696.44</f>
        <v>14659546.119999999</v>
      </c>
      <c r="K37" s="150">
        <f t="shared" si="1"/>
        <v>389991.44</v>
      </c>
      <c r="L37" s="159">
        <f t="shared" si="5"/>
        <v>0.97408615125579978</v>
      </c>
      <c r="M37" s="193" t="s">
        <v>135</v>
      </c>
      <c r="N37" s="150">
        <f>SUM(M37:M38)</f>
        <v>0</v>
      </c>
    </row>
    <row r="38" spans="1:15" s="110" customFormat="1" ht="15" hidden="1" customHeight="1" x14ac:dyDescent="0.25">
      <c r="A38" s="156"/>
      <c r="B38" s="153"/>
      <c r="C38" s="153"/>
      <c r="D38" s="153"/>
      <c r="E38" s="156"/>
      <c r="F38" s="151"/>
      <c r="G38" s="87" t="s">
        <v>257</v>
      </c>
      <c r="H38" s="76" t="s">
        <v>261</v>
      </c>
      <c r="I38" s="77">
        <v>139696.44</v>
      </c>
      <c r="J38" s="151"/>
      <c r="K38" s="151"/>
      <c r="L38" s="160"/>
      <c r="M38" s="194"/>
      <c r="N38" s="151">
        <f>SUM(M38:M38)</f>
        <v>0</v>
      </c>
    </row>
    <row r="39" spans="1:15" s="110" customFormat="1" ht="30" hidden="1" customHeight="1" x14ac:dyDescent="0.25">
      <c r="A39" s="106" t="s">
        <v>64</v>
      </c>
      <c r="B39" s="93" t="s">
        <v>44</v>
      </c>
      <c r="C39" s="93" t="s">
        <v>7</v>
      </c>
      <c r="D39" s="93" t="s">
        <v>110</v>
      </c>
      <c r="E39" s="106" t="s">
        <v>86</v>
      </c>
      <c r="F39" s="105">
        <f>47363372.89+1488878.9+2412333.63+8601.09000001847</f>
        <v>51273186.51000002</v>
      </c>
      <c r="G39" s="87">
        <v>48</v>
      </c>
      <c r="H39" s="76" t="s">
        <v>384</v>
      </c>
      <c r="I39" s="77">
        <v>213802.21</v>
      </c>
      <c r="J39" s="104">
        <f>26710903.42+1711995.15+2291201.15+2211502.48+1976094.72+1761184.19+503441.32+1200294.41+1211680.28+820248.36+307301.45+345066.45+360807.4+429772.45+451631.65+291670.88+526947.44+1532855.16+1288073.95+1325346.38+1006388.43+435708.16+263192.1+275435.78+250900.38+300187.02+189144.9+282983.77+213802.21</f>
        <v>50475761.440000013</v>
      </c>
      <c r="K39" s="104">
        <f>ROUND(F39-J39,2)</f>
        <v>797425.07</v>
      </c>
      <c r="L39" s="107">
        <f t="shared" si="5"/>
        <v>0.98444752268625857</v>
      </c>
      <c r="M39" s="189">
        <v>0</v>
      </c>
      <c r="N39" s="104">
        <f>SUM(M39:M39)</f>
        <v>0</v>
      </c>
      <c r="O39" s="147"/>
    </row>
    <row r="40" spans="1:15" s="110" customFormat="1" ht="30" hidden="1" x14ac:dyDescent="0.25">
      <c r="A40" s="91" t="s">
        <v>65</v>
      </c>
      <c r="B40" s="75" t="s">
        <v>45</v>
      </c>
      <c r="C40" s="75" t="s">
        <v>16</v>
      </c>
      <c r="D40" s="75" t="s">
        <v>111</v>
      </c>
      <c r="E40" s="85" t="s">
        <v>87</v>
      </c>
      <c r="F40" s="77">
        <f>1903151.05+52307.96+324603.98999+45011.3</f>
        <v>2325074.2999899997</v>
      </c>
      <c r="G40" s="87">
        <v>9</v>
      </c>
      <c r="H40" s="76" t="s">
        <v>292</v>
      </c>
      <c r="I40" s="77">
        <v>551598.14</v>
      </c>
      <c r="J40" s="77">
        <f>81194.85+119346.94+124038.34+54773.95+127377.29+108977.65+558818.96+492464.8871+560384.65</f>
        <v>2227377.5170999998</v>
      </c>
      <c r="K40" s="77">
        <f t="shared" si="1"/>
        <v>97696.78</v>
      </c>
      <c r="L40" s="86">
        <f t="shared" si="5"/>
        <v>0.95798122112036588</v>
      </c>
      <c r="M40" s="190" t="s">
        <v>135</v>
      </c>
      <c r="N40" s="79">
        <f>SUM(M40:M40)</f>
        <v>0</v>
      </c>
    </row>
    <row r="41" spans="1:15" s="81" customFormat="1" ht="120" x14ac:dyDescent="0.25">
      <c r="A41" s="132" t="s">
        <v>356</v>
      </c>
      <c r="B41" s="82" t="s">
        <v>357</v>
      </c>
      <c r="C41" s="82" t="s">
        <v>358</v>
      </c>
      <c r="D41" s="82" t="s">
        <v>359</v>
      </c>
      <c r="E41" s="134" t="s">
        <v>360</v>
      </c>
      <c r="F41" s="127">
        <v>27594329.419999998</v>
      </c>
      <c r="G41" s="125">
        <v>13</v>
      </c>
      <c r="H41" s="126" t="s">
        <v>398</v>
      </c>
      <c r="I41" s="127">
        <v>1176007.25</v>
      </c>
      <c r="J41" s="127">
        <f>433039.28+431544.17+546267.19+772167.41+816362.3+1272108.17+1106118.37+937621.78+2566502.38+1805924.09+848031.63+1510462.58+1176007.25</f>
        <v>14222156.600000001</v>
      </c>
      <c r="K41" s="127">
        <f>ROUND(F41-J41,2)</f>
        <v>13372172.82</v>
      </c>
      <c r="L41" s="135">
        <f t="shared" ref="L41" si="14">J41/F41</f>
        <v>0.51540142119532628</v>
      </c>
      <c r="M41" s="190">
        <f>27010924.22-433039.28-431544.17-546267.19-772167.41-816362.3-1272108.17-1106118.37-937621.78-2566502.38-1805924.09-848031.63-1510462.58-1176007.25</f>
        <v>12788767.619999994</v>
      </c>
      <c r="N41" s="136">
        <f>SUM(M41:M41)</f>
        <v>12788767.619999994</v>
      </c>
    </row>
    <row r="42" spans="1:15" s="110" customFormat="1" ht="60" hidden="1" x14ac:dyDescent="0.25">
      <c r="A42" s="91" t="s">
        <v>66</v>
      </c>
      <c r="B42" s="75" t="s">
        <v>46</v>
      </c>
      <c r="C42" s="75" t="s">
        <v>17</v>
      </c>
      <c r="D42" s="75" t="s">
        <v>112</v>
      </c>
      <c r="E42" s="85" t="s">
        <v>88</v>
      </c>
      <c r="F42" s="77">
        <v>604164.1</v>
      </c>
      <c r="G42" s="87">
        <v>3</v>
      </c>
      <c r="H42" s="76" t="s">
        <v>131</v>
      </c>
      <c r="I42" s="77">
        <v>54929.440000000002</v>
      </c>
      <c r="J42" s="77">
        <v>251341.82</v>
      </c>
      <c r="K42" s="77">
        <f t="shared" si="1"/>
        <v>352822.28</v>
      </c>
      <c r="L42" s="86">
        <f t="shared" si="5"/>
        <v>0.41601581424649364</v>
      </c>
      <c r="M42" s="190" t="s">
        <v>135</v>
      </c>
      <c r="N42" s="79">
        <f>SUM(M42:M42)</f>
        <v>0</v>
      </c>
    </row>
    <row r="43" spans="1:15" s="110" customFormat="1" ht="75" hidden="1" x14ac:dyDescent="0.25">
      <c r="A43" s="91" t="s">
        <v>67</v>
      </c>
      <c r="B43" s="75" t="s">
        <v>47</v>
      </c>
      <c r="C43" s="75" t="s">
        <v>31</v>
      </c>
      <c r="D43" s="75" t="s">
        <v>113</v>
      </c>
      <c r="E43" s="85" t="s">
        <v>89</v>
      </c>
      <c r="F43" s="77">
        <v>1410846.7379999999</v>
      </c>
      <c r="G43" s="87">
        <v>13</v>
      </c>
      <c r="H43" s="76" t="s">
        <v>132</v>
      </c>
      <c r="I43" s="77">
        <v>58766.559999999998</v>
      </c>
      <c r="J43" s="77">
        <v>1379296.3099999998</v>
      </c>
      <c r="K43" s="77">
        <f t="shared" si="1"/>
        <v>31550.43</v>
      </c>
      <c r="L43" s="86">
        <f t="shared" ref="L43:L48" si="15">J43/F43</f>
        <v>0.97763723929026791</v>
      </c>
      <c r="M43" s="190" t="s">
        <v>135</v>
      </c>
      <c r="N43" s="79">
        <f>SUM(M43:M43)</f>
        <v>0</v>
      </c>
    </row>
    <row r="44" spans="1:15" s="110" customFormat="1" ht="75" hidden="1" x14ac:dyDescent="0.25">
      <c r="A44" s="91" t="s">
        <v>163</v>
      </c>
      <c r="B44" s="75" t="s">
        <v>164</v>
      </c>
      <c r="C44" s="75" t="s">
        <v>167</v>
      </c>
      <c r="D44" s="75" t="s">
        <v>190</v>
      </c>
      <c r="E44" s="85" t="s">
        <v>166</v>
      </c>
      <c r="F44" s="77">
        <v>2961560.64</v>
      </c>
      <c r="G44" s="87">
        <v>3</v>
      </c>
      <c r="H44" s="76" t="s">
        <v>262</v>
      </c>
      <c r="I44" s="77">
        <v>89175.360000000001</v>
      </c>
      <c r="J44" s="77">
        <f>578075.36+609492.07+89175.36</f>
        <v>1276742.79</v>
      </c>
      <c r="K44" s="77">
        <f t="shared" si="1"/>
        <v>1684817.85</v>
      </c>
      <c r="L44" s="86">
        <f t="shared" si="15"/>
        <v>0.43110472659442151</v>
      </c>
      <c r="M44" s="190" t="s">
        <v>135</v>
      </c>
      <c r="N44" s="79">
        <f>SUM(M44:M44)</f>
        <v>0</v>
      </c>
    </row>
    <row r="45" spans="1:15" s="81" customFormat="1" ht="120" customHeight="1" x14ac:dyDescent="0.25">
      <c r="A45" s="122" t="s">
        <v>298</v>
      </c>
      <c r="B45" s="130" t="s">
        <v>299</v>
      </c>
      <c r="C45" s="130" t="s">
        <v>300</v>
      </c>
      <c r="D45" s="130" t="s">
        <v>301</v>
      </c>
      <c r="E45" s="123" t="s">
        <v>302</v>
      </c>
      <c r="F45" s="124">
        <f>2710000+488939.639999999+27931.88</f>
        <v>3226871.5199999991</v>
      </c>
      <c r="G45" s="125">
        <v>6</v>
      </c>
      <c r="H45" s="126" t="s">
        <v>331</v>
      </c>
      <c r="I45" s="127">
        <v>555425.26</v>
      </c>
      <c r="J45" s="127">
        <f>208828.65+462701.14+259689.05+606819.77+455966.46+555425.26</f>
        <v>2549430.33</v>
      </c>
      <c r="K45" s="127">
        <f t="shared" ref="K45" si="16">ROUND(F45-J45,2)</f>
        <v>677441.19</v>
      </c>
      <c r="L45" s="135">
        <f t="shared" si="15"/>
        <v>0.79006254640097995</v>
      </c>
      <c r="M45" s="190">
        <f>1199893.27-455966.46+488939.64-555425.26</f>
        <v>677441.19000000018</v>
      </c>
      <c r="N45" s="136">
        <f>SUM(M45:M45)</f>
        <v>677441.19000000018</v>
      </c>
    </row>
    <row r="46" spans="1:15" s="110" customFormat="1" ht="90" hidden="1" customHeight="1" x14ac:dyDescent="0.25">
      <c r="A46" s="106" t="s">
        <v>298</v>
      </c>
      <c r="B46" s="93" t="s">
        <v>303</v>
      </c>
      <c r="C46" s="93" t="s">
        <v>304</v>
      </c>
      <c r="D46" s="93" t="s">
        <v>305</v>
      </c>
      <c r="E46" s="103" t="s">
        <v>306</v>
      </c>
      <c r="F46" s="104">
        <f>1747627.58+170672.569999999</f>
        <v>1918300.149999999</v>
      </c>
      <c r="G46" s="87">
        <v>7</v>
      </c>
      <c r="H46" s="76" t="s">
        <v>361</v>
      </c>
      <c r="I46" s="77">
        <v>201486.36</v>
      </c>
      <c r="J46" s="77">
        <f>180768.53+288546.31+427266.4+393855.92+93710.94+266912.69+201486.36</f>
        <v>1852547.15</v>
      </c>
      <c r="K46" s="77">
        <f t="shared" ref="K46" si="17">ROUND(F46-J46,2)</f>
        <v>65753</v>
      </c>
      <c r="L46" s="86">
        <f t="shared" si="15"/>
        <v>0.96572329934916645</v>
      </c>
      <c r="M46" s="190">
        <v>0</v>
      </c>
      <c r="N46" s="79">
        <f>SUM(M46:M46)</f>
        <v>0</v>
      </c>
    </row>
    <row r="47" spans="1:15" s="110" customFormat="1" ht="30" hidden="1" customHeight="1" x14ac:dyDescent="0.25">
      <c r="A47" s="106" t="s">
        <v>298</v>
      </c>
      <c r="B47" s="93" t="s">
        <v>330</v>
      </c>
      <c r="C47" s="93" t="s">
        <v>135</v>
      </c>
      <c r="D47" s="93" t="s">
        <v>135</v>
      </c>
      <c r="E47" s="103" t="s">
        <v>322</v>
      </c>
      <c r="F47" s="104">
        <f>1724768.8+418044.25</f>
        <v>2142813.0499999998</v>
      </c>
      <c r="G47" s="87">
        <v>3</v>
      </c>
      <c r="H47" s="76" t="s">
        <v>362</v>
      </c>
      <c r="I47" s="77">
        <v>980621.14</v>
      </c>
      <c r="J47" s="104">
        <f>240053.47+887639.91+980621.14</f>
        <v>2108314.52</v>
      </c>
      <c r="K47" s="77">
        <f>ROUND(F47-J47,2)</f>
        <v>34498.53</v>
      </c>
      <c r="L47" s="86">
        <f t="shared" si="15"/>
        <v>0.98390035472296578</v>
      </c>
      <c r="M47" s="190">
        <v>0</v>
      </c>
      <c r="N47" s="79">
        <f>SUM(M47:M47)</f>
        <v>0</v>
      </c>
    </row>
    <row r="48" spans="1:15" s="81" customFormat="1" ht="30" customHeight="1" x14ac:dyDescent="0.25">
      <c r="A48" s="122" t="s">
        <v>298</v>
      </c>
      <c r="B48" s="130" t="s">
        <v>323</v>
      </c>
      <c r="C48" s="130" t="s">
        <v>324</v>
      </c>
      <c r="D48" s="130" t="s">
        <v>135</v>
      </c>
      <c r="E48" s="123" t="s">
        <v>325</v>
      </c>
      <c r="F48" s="124">
        <f>3534742.06+147786.26+58338.72</f>
        <v>3740867.0400000005</v>
      </c>
      <c r="G48" s="125">
        <v>6</v>
      </c>
      <c r="H48" s="126" t="s">
        <v>403</v>
      </c>
      <c r="I48" s="127">
        <v>1095194.8799999999</v>
      </c>
      <c r="J48" s="124">
        <f>159297.72+107257.78+1127232.59+449743.33+330851.45+1095194.88</f>
        <v>3269577.75</v>
      </c>
      <c r="K48" s="124">
        <f>ROUND(F48-J48,2)</f>
        <v>471289.29</v>
      </c>
      <c r="L48" s="128">
        <f t="shared" si="15"/>
        <v>0.87401602757846197</v>
      </c>
      <c r="M48" s="190">
        <f>3581569.32-107257.78-1127232.59-449743.33-330851.45-1095194.88</f>
        <v>471289.29000000027</v>
      </c>
      <c r="N48" s="129">
        <f>SUM(M48:M48)</f>
        <v>471289.29000000027</v>
      </c>
    </row>
    <row r="49" spans="1:15" s="81" customFormat="1" ht="45" customHeight="1" x14ac:dyDescent="0.25">
      <c r="A49" s="122" t="s">
        <v>298</v>
      </c>
      <c r="B49" s="130" t="s">
        <v>349</v>
      </c>
      <c r="C49" s="130" t="s">
        <v>350</v>
      </c>
      <c r="D49" s="130"/>
      <c r="E49" s="123" t="s">
        <v>351</v>
      </c>
      <c r="F49" s="124">
        <f>1797565.37+222849.82</f>
        <v>2020415.1900000002</v>
      </c>
      <c r="G49" s="125">
        <v>3</v>
      </c>
      <c r="H49" s="126" t="s">
        <v>394</v>
      </c>
      <c r="I49" s="127">
        <v>1117567.0900000001</v>
      </c>
      <c r="J49" s="124">
        <f>112921.77+601853.94+1117567.09</f>
        <v>1832342.8</v>
      </c>
      <c r="K49" s="124">
        <f>ROUND(F49-J49,2)</f>
        <v>188072.39</v>
      </c>
      <c r="L49" s="128">
        <f t="shared" ref="L49" si="18">J49/F49</f>
        <v>0.90691398929741762</v>
      </c>
      <c r="M49" s="190">
        <f>2069660.4-112921.77-601853.94-1117567.09</f>
        <v>237317.59999999986</v>
      </c>
      <c r="N49" s="129">
        <f>SUM(M49:M49)</f>
        <v>237317.59999999986</v>
      </c>
    </row>
    <row r="50" spans="1:15" s="96" customFormat="1" ht="30" hidden="1" customHeight="1" x14ac:dyDescent="0.25">
      <c r="A50" s="106" t="s">
        <v>263</v>
      </c>
      <c r="B50" s="93" t="s">
        <v>58</v>
      </c>
      <c r="C50" s="93" t="s">
        <v>9</v>
      </c>
      <c r="D50" s="93" t="s">
        <v>114</v>
      </c>
      <c r="E50" s="106" t="s">
        <v>183</v>
      </c>
      <c r="F50" s="105">
        <v>106510.2</v>
      </c>
      <c r="G50" s="87">
        <v>12</v>
      </c>
      <c r="H50" s="76" t="s">
        <v>289</v>
      </c>
      <c r="I50" s="77">
        <v>8875.85</v>
      </c>
      <c r="J50" s="105">
        <f>8875.85+8875.85+8875.85+8875.86+8875.85+7366.95+10384.74+8875.85+8875.85+8875.85+8875.85+8875.85</f>
        <v>106510.20000000003</v>
      </c>
      <c r="K50" s="105">
        <f t="shared" si="1"/>
        <v>0</v>
      </c>
      <c r="L50" s="107">
        <f t="shared" ref="L50" si="19">J50/F50</f>
        <v>1.0000000000000002</v>
      </c>
      <c r="M50" s="189"/>
      <c r="N50" s="129">
        <f>SUM(M50:M50)</f>
        <v>0</v>
      </c>
    </row>
    <row r="51" spans="1:15" s="81" customFormat="1" ht="30" customHeight="1" x14ac:dyDescent="0.25">
      <c r="A51" s="122" t="s">
        <v>263</v>
      </c>
      <c r="B51" s="130" t="s">
        <v>58</v>
      </c>
      <c r="C51" s="130" t="s">
        <v>9</v>
      </c>
      <c r="D51" s="130" t="s">
        <v>114</v>
      </c>
      <c r="E51" s="122" t="s">
        <v>288</v>
      </c>
      <c r="F51" s="129">
        <v>112665</v>
      </c>
      <c r="G51" s="125">
        <v>6</v>
      </c>
      <c r="H51" s="126" t="s">
        <v>407</v>
      </c>
      <c r="I51" s="127">
        <v>9388.75</v>
      </c>
      <c r="J51" s="129">
        <f>9388.75+9388.75+9388.75+9388.75+9388.75+9388.75</f>
        <v>56332.5</v>
      </c>
      <c r="K51" s="129">
        <f>ROUND(F51-J51,2)</f>
        <v>56332.5</v>
      </c>
      <c r="L51" s="128">
        <f t="shared" ref="L51" si="20">J51/F51</f>
        <v>0.5</v>
      </c>
      <c r="M51" s="190">
        <f>103276.25-9388.75-9388.75-9388.75-9388.75</f>
        <v>65721.25</v>
      </c>
      <c r="N51" s="129">
        <f>SUM(M51:M51)</f>
        <v>65721.25</v>
      </c>
    </row>
    <row r="52" spans="1:15" s="110" customFormat="1" ht="30" hidden="1" x14ac:dyDescent="0.25">
      <c r="A52" s="91" t="s">
        <v>68</v>
      </c>
      <c r="B52" s="75" t="s">
        <v>48</v>
      </c>
      <c r="C52" s="75" t="s">
        <v>10</v>
      </c>
      <c r="D52" s="75" t="s">
        <v>115</v>
      </c>
      <c r="E52" s="85" t="s">
        <v>90</v>
      </c>
      <c r="F52" s="77">
        <v>14566095.02</v>
      </c>
      <c r="G52" s="87">
        <v>14</v>
      </c>
      <c r="H52" s="76" t="s">
        <v>182</v>
      </c>
      <c r="I52" s="77">
        <v>406405.03</v>
      </c>
      <c r="J52" s="77">
        <f>9707281.65+958574.29+1252890.35+544448.96+919633.95+168822.77+406405.03</f>
        <v>13958056.999999998</v>
      </c>
      <c r="K52" s="77">
        <f t="shared" si="1"/>
        <v>608038.02</v>
      </c>
      <c r="L52" s="86">
        <f t="shared" si="5"/>
        <v>0.95825662134119449</v>
      </c>
      <c r="M52" s="190"/>
      <c r="N52" s="79">
        <f>SUM(M52:M52)</f>
        <v>0</v>
      </c>
    </row>
    <row r="53" spans="1:15" s="110" customFormat="1" ht="30" hidden="1" x14ac:dyDescent="0.25">
      <c r="A53" s="91" t="s">
        <v>68</v>
      </c>
      <c r="B53" s="75" t="s">
        <v>49</v>
      </c>
      <c r="C53" s="75" t="s">
        <v>11</v>
      </c>
      <c r="D53" s="75" t="s">
        <v>116</v>
      </c>
      <c r="E53" s="85" t="s">
        <v>91</v>
      </c>
      <c r="F53" s="77">
        <f>6784828.27+512229.6+306407.34</f>
        <v>7603465.209999999</v>
      </c>
      <c r="G53" s="87">
        <v>12</v>
      </c>
      <c r="H53" s="76" t="s">
        <v>278</v>
      </c>
      <c r="I53" s="77">
        <v>266948.15000000002</v>
      </c>
      <c r="J53" s="77">
        <f>2173335.11+86798.64+541135.24+407781.68+1117003.1+709572.19+722327.7+886007.04+266948.15</f>
        <v>6910908.8500000015</v>
      </c>
      <c r="K53" s="77">
        <f t="shared" si="1"/>
        <v>692556.36</v>
      </c>
      <c r="L53" s="86">
        <f t="shared" si="5"/>
        <v>0.90891569292785679</v>
      </c>
      <c r="M53" s="190"/>
      <c r="N53" s="79">
        <f>SUM(M53:M53)</f>
        <v>0</v>
      </c>
    </row>
    <row r="54" spans="1:15" s="81" customFormat="1" ht="45" customHeight="1" x14ac:dyDescent="0.25">
      <c r="A54" s="122" t="s">
        <v>68</v>
      </c>
      <c r="B54" s="130" t="s">
        <v>141</v>
      </c>
      <c r="C54" s="130" t="s">
        <v>142</v>
      </c>
      <c r="D54" s="130" t="s">
        <v>171</v>
      </c>
      <c r="E54" s="123" t="s">
        <v>140</v>
      </c>
      <c r="F54" s="124">
        <f>27548321.94+5806783.37+6857904.58000001</f>
        <v>40213009.890000015</v>
      </c>
      <c r="G54" s="125">
        <v>11</v>
      </c>
      <c r="H54" s="126" t="s">
        <v>395</v>
      </c>
      <c r="I54" s="127">
        <v>3867771.26</v>
      </c>
      <c r="J54" s="124">
        <f>937015.84+4021781.22+804722.51+1471485.09+823141.27+497747.84+150986.75+843092.15+1467861.59+952517.79+2116965.49+2345805.75+3867771.26</f>
        <v>20300894.550000001</v>
      </c>
      <c r="K54" s="124">
        <f>ROUND(F54-J54,2)</f>
        <v>19912115.34</v>
      </c>
      <c r="L54" s="128">
        <f>J54/F54</f>
        <v>0.50483399789102412</v>
      </c>
      <c r="M54" s="189">
        <f>27984779.6-2116965.49-2345805.75-3867771.26</f>
        <v>19654237.100000001</v>
      </c>
      <c r="N54" s="124">
        <f>SUM(M54:M54)</f>
        <v>19654237.100000001</v>
      </c>
    </row>
    <row r="55" spans="1:15" s="110" customFormat="1" ht="60" hidden="1" customHeight="1" x14ac:dyDescent="0.25">
      <c r="A55" s="91" t="s">
        <v>69</v>
      </c>
      <c r="B55" s="75" t="s">
        <v>50</v>
      </c>
      <c r="C55" s="75" t="s">
        <v>24</v>
      </c>
      <c r="D55" s="75" t="s">
        <v>117</v>
      </c>
      <c r="E55" s="85" t="s">
        <v>92</v>
      </c>
      <c r="F55" s="77">
        <f>44830064.14+2895853.06999999</f>
        <v>47725917.209999993</v>
      </c>
      <c r="G55" s="87">
        <v>24</v>
      </c>
      <c r="H55" s="76" t="s">
        <v>363</v>
      </c>
      <c r="I55" s="77">
        <v>177559.29</v>
      </c>
      <c r="J55" s="77">
        <f>38357579.92+515109.67+165836.1+159694.92+177559.29</f>
        <v>39375779.900000006</v>
      </c>
      <c r="K55" s="77">
        <f t="shared" si="1"/>
        <v>8350137.3099999996</v>
      </c>
      <c r="L55" s="86">
        <f t="shared" si="5"/>
        <v>0.82503977297579545</v>
      </c>
      <c r="M55" s="190">
        <v>0</v>
      </c>
      <c r="N55" s="79">
        <f>SUM(M55:M55)</f>
        <v>0</v>
      </c>
    </row>
    <row r="56" spans="1:15" s="110" customFormat="1" ht="60" hidden="1" x14ac:dyDescent="0.25">
      <c r="A56" s="91" t="s">
        <v>69</v>
      </c>
      <c r="B56" s="75" t="s">
        <v>51</v>
      </c>
      <c r="C56" s="75" t="s">
        <v>25</v>
      </c>
      <c r="D56" s="75" t="s">
        <v>118</v>
      </c>
      <c r="E56" s="85" t="s">
        <v>93</v>
      </c>
      <c r="F56" s="77">
        <f>41665909.51+5006564.14000002</f>
        <v>46672473.650000021</v>
      </c>
      <c r="G56" s="87">
        <v>22</v>
      </c>
      <c r="H56" s="76" t="s">
        <v>364</v>
      </c>
      <c r="I56" s="149">
        <v>551740.18999999994</v>
      </c>
      <c r="J56" s="77">
        <f>31227869.46+886705.53+2926754.29+841425.58+551740.19</f>
        <v>36434495.049999997</v>
      </c>
      <c r="K56" s="77">
        <f t="shared" si="1"/>
        <v>10237978.6</v>
      </c>
      <c r="L56" s="86">
        <f t="shared" si="5"/>
        <v>0.78064204017178718</v>
      </c>
      <c r="M56" s="190">
        <v>0</v>
      </c>
      <c r="N56" s="79">
        <f>SUM(M56:M56)</f>
        <v>0</v>
      </c>
    </row>
    <row r="57" spans="1:15" s="110" customFormat="1" ht="75" hidden="1" x14ac:dyDescent="0.25">
      <c r="A57" s="91" t="s">
        <v>326</v>
      </c>
      <c r="B57" s="75" t="s">
        <v>327</v>
      </c>
      <c r="C57" s="75" t="s">
        <v>328</v>
      </c>
      <c r="D57" s="75" t="s">
        <v>135</v>
      </c>
      <c r="E57" s="85" t="s">
        <v>329</v>
      </c>
      <c r="F57" s="77">
        <f>1281694.36+64658.3</f>
        <v>1346352.6600000001</v>
      </c>
      <c r="G57" s="87">
        <v>5</v>
      </c>
      <c r="H57" s="76" t="s">
        <v>378</v>
      </c>
      <c r="I57" s="149">
        <v>341259.59</v>
      </c>
      <c r="J57" s="77">
        <f>128868.16+161175.35+47243.98+360067.95+341259.59</f>
        <v>1038615.03</v>
      </c>
      <c r="K57" s="77">
        <f>ROUND(F57-J57,2)</f>
        <v>307737.63</v>
      </c>
      <c r="L57" s="86">
        <f t="shared" si="5"/>
        <v>0.77142866119490561</v>
      </c>
      <c r="M57" s="190">
        <v>0</v>
      </c>
      <c r="N57" s="79">
        <f>SUM(M57:M57)</f>
        <v>0</v>
      </c>
    </row>
    <row r="58" spans="1:15" s="110" customFormat="1" ht="30" hidden="1" x14ac:dyDescent="0.25">
      <c r="A58" s="91" t="s">
        <v>70</v>
      </c>
      <c r="B58" s="75" t="s">
        <v>134</v>
      </c>
      <c r="C58" s="75" t="s">
        <v>26</v>
      </c>
      <c r="D58" s="75" t="s">
        <v>119</v>
      </c>
      <c r="E58" s="85" t="s">
        <v>94</v>
      </c>
      <c r="F58" s="77">
        <f>3753799.17+54112.77</f>
        <v>3807911.94</v>
      </c>
      <c r="G58" s="87">
        <v>8</v>
      </c>
      <c r="H58" s="76" t="s">
        <v>133</v>
      </c>
      <c r="I58" s="77">
        <v>69345.88</v>
      </c>
      <c r="J58" s="77">
        <v>3151363.13</v>
      </c>
      <c r="K58" s="77">
        <f t="shared" si="1"/>
        <v>656548.81000000006</v>
      </c>
      <c r="L58" s="86">
        <f t="shared" si="5"/>
        <v>0.82758298502039418</v>
      </c>
      <c r="M58" s="190"/>
      <c r="N58" s="79">
        <f>SUM(M58:M58)</f>
        <v>0</v>
      </c>
    </row>
    <row r="59" spans="1:15" s="81" customFormat="1" ht="60" x14ac:dyDescent="0.25">
      <c r="A59" s="132" t="s">
        <v>70</v>
      </c>
      <c r="B59" s="82" t="s">
        <v>348</v>
      </c>
      <c r="C59" s="148" t="s">
        <v>408</v>
      </c>
      <c r="D59" s="82"/>
      <c r="E59" s="134" t="s">
        <v>347</v>
      </c>
      <c r="F59" s="127">
        <v>6407291.1700000018</v>
      </c>
      <c r="G59" s="125">
        <v>5</v>
      </c>
      <c r="H59" s="126" t="s">
        <v>399</v>
      </c>
      <c r="I59" s="127">
        <v>1248059.3700000001</v>
      </c>
      <c r="J59" s="127">
        <f>321810.16+1096139.26+330084.44+995841.47+1248059.37</f>
        <v>3991934.7</v>
      </c>
      <c r="K59" s="127">
        <f>ROUND(F59-J59,2)</f>
        <v>2415356.4700000002</v>
      </c>
      <c r="L59" s="135">
        <f t="shared" ref="L59" si="21">J59/F59</f>
        <v>0.62303001285330994</v>
      </c>
      <c r="M59" s="190">
        <f>6407291.17-321810.16-1096139.26-330084.44-995841.47-1248059.37</f>
        <v>2415356.4699999997</v>
      </c>
      <c r="N59" s="136">
        <f>SUM(M59:M59)</f>
        <v>2415356.4699999997</v>
      </c>
    </row>
    <row r="60" spans="1:15" s="83" customFormat="1" ht="45" hidden="1" x14ac:dyDescent="0.25">
      <c r="A60" s="91" t="s">
        <v>71</v>
      </c>
      <c r="B60" s="75" t="s">
        <v>52</v>
      </c>
      <c r="C60" s="75" t="s">
        <v>13</v>
      </c>
      <c r="D60" s="75" t="s">
        <v>120</v>
      </c>
      <c r="E60" s="85" t="s">
        <v>286</v>
      </c>
      <c r="F60" s="77">
        <v>59997355.799999997</v>
      </c>
      <c r="G60" s="87">
        <v>11</v>
      </c>
      <c r="H60" s="76" t="s">
        <v>279</v>
      </c>
      <c r="I60" s="77">
        <v>1409605.97</v>
      </c>
      <c r="J60" s="77">
        <f>3075934.64+3324723.36+3601260.57+4490357.58+5762782.48+6282631.75+5985673.19+5352295.6+2785451.51+1409605.97</f>
        <v>42070716.649999999</v>
      </c>
      <c r="K60" s="77">
        <f>ROUND(F60-J60,2)</f>
        <v>17926639.149999999</v>
      </c>
      <c r="L60" s="86">
        <f t="shared" ref="L60" si="22">J60/F60</f>
        <v>0.70120951313657731</v>
      </c>
      <c r="M60" s="190"/>
      <c r="N60" s="79">
        <f>SUM(M60:M60)</f>
        <v>0</v>
      </c>
      <c r="O60" s="84" t="e">
        <f>#REF!-#REF!</f>
        <v>#REF!</v>
      </c>
    </row>
    <row r="61" spans="1:15" s="110" customFormat="1" ht="45" hidden="1" x14ac:dyDescent="0.25">
      <c r="A61" s="91" t="s">
        <v>71</v>
      </c>
      <c r="B61" s="75" t="s">
        <v>53</v>
      </c>
      <c r="C61" s="75" t="s">
        <v>14</v>
      </c>
      <c r="D61" s="75" t="s">
        <v>121</v>
      </c>
      <c r="E61" s="85" t="s">
        <v>290</v>
      </c>
      <c r="F61" s="77">
        <v>48851146.5</v>
      </c>
      <c r="G61" s="87">
        <v>14</v>
      </c>
      <c r="H61" s="76" t="s">
        <v>320</v>
      </c>
      <c r="I61" s="77">
        <v>440005.62</v>
      </c>
      <c r="J61" s="77">
        <f>2895505.45+3638111.6+2895743.58+1975866.51+4765511.91+5211656.26+5618792.45+5777314.26+3931436.7+3301477.32+537084.89+1145828.96+244658.94+440005.62</f>
        <v>42378994.450000003</v>
      </c>
      <c r="K61" s="77">
        <f>ROUND(F61-J61,2)</f>
        <v>6472152.0499999998</v>
      </c>
      <c r="L61" s="86">
        <f>J61/F61</f>
        <v>0.86751279112763513</v>
      </c>
      <c r="M61" s="190" t="s">
        <v>135</v>
      </c>
      <c r="N61" s="79">
        <f>SUM(M61:M61)</f>
        <v>0</v>
      </c>
      <c r="O61" s="111" t="e">
        <f>O60+23159990.91</f>
        <v>#REF!</v>
      </c>
    </row>
    <row r="62" spans="1:15" s="110" customFormat="1" ht="45" hidden="1" x14ac:dyDescent="0.25">
      <c r="A62" s="91" t="s">
        <v>71</v>
      </c>
      <c r="B62" s="75" t="s">
        <v>52</v>
      </c>
      <c r="C62" s="75" t="s">
        <v>13</v>
      </c>
      <c r="D62" s="75" t="s">
        <v>120</v>
      </c>
      <c r="E62" s="85" t="s">
        <v>269</v>
      </c>
      <c r="F62" s="77">
        <f>59997355.8+8687124</f>
        <v>68684479.799999997</v>
      </c>
      <c r="G62" s="87">
        <v>14</v>
      </c>
      <c r="H62" s="76" t="s">
        <v>365</v>
      </c>
      <c r="I62" s="77">
        <v>540798.48</v>
      </c>
      <c r="J62" s="77">
        <f>2568260.78+3829224.4+5759623.36+6131849.9+7050771.69+7189187.41+2587869.72+4864926.77+6350944.08+3985221+4072705.29+3443267.11+3700244.53+540798.48</f>
        <v>62074894.519999996</v>
      </c>
      <c r="K62" s="77">
        <f>ROUND(F62-J62,2)</f>
        <v>6609585.2800000003</v>
      </c>
      <c r="L62" s="86">
        <f t="shared" ref="L62" si="23">J62/F62</f>
        <v>0.90376886744652896</v>
      </c>
      <c r="M62" s="190">
        <v>0</v>
      </c>
      <c r="N62" s="79">
        <f>SUM(M62:M62)</f>
        <v>0</v>
      </c>
      <c r="O62" s="111"/>
    </row>
    <row r="63" spans="1:15" s="110" customFormat="1" ht="27.75" hidden="1" customHeight="1" x14ac:dyDescent="0.25">
      <c r="A63" s="106" t="s">
        <v>72</v>
      </c>
      <c r="B63" s="93" t="s">
        <v>54</v>
      </c>
      <c r="C63" s="93" t="s">
        <v>12</v>
      </c>
      <c r="D63" s="102" t="s">
        <v>122</v>
      </c>
      <c r="E63" s="103" t="s">
        <v>95</v>
      </c>
      <c r="F63" s="104">
        <f>2064407.05+1211336.43</f>
        <v>3275743.48</v>
      </c>
      <c r="G63" s="87">
        <v>6</v>
      </c>
      <c r="H63" s="76" t="s">
        <v>280</v>
      </c>
      <c r="I63" s="77">
        <v>347102.34</v>
      </c>
      <c r="J63" s="104">
        <f>83947.02+335223.63+119096.69+344261.76+869432.38+1173848.74+347102.34</f>
        <v>3272912.5599999996</v>
      </c>
      <c r="K63" s="104">
        <f t="shared" si="1"/>
        <v>2830.92</v>
      </c>
      <c r="L63" s="107">
        <f t="shared" si="5"/>
        <v>0.99913579313603629</v>
      </c>
      <c r="M63" s="189"/>
      <c r="N63" s="104">
        <f>SUM(M63:M63)</f>
        <v>0</v>
      </c>
      <c r="O63" s="111">
        <v>31251609.059999999</v>
      </c>
    </row>
    <row r="64" spans="1:15" s="81" customFormat="1" ht="90" x14ac:dyDescent="0.25">
      <c r="A64" s="132" t="s">
        <v>72</v>
      </c>
      <c r="B64" s="133" t="s">
        <v>174</v>
      </c>
      <c r="C64" s="133" t="s">
        <v>409</v>
      </c>
      <c r="D64" s="133" t="s">
        <v>135</v>
      </c>
      <c r="E64" s="134" t="s">
        <v>173</v>
      </c>
      <c r="F64" s="127">
        <f>24854764.27+12414428.65+1630222.67+1822922.5</f>
        <v>40722338.090000004</v>
      </c>
      <c r="G64" s="125">
        <v>13</v>
      </c>
      <c r="H64" s="126" t="s">
        <v>400</v>
      </c>
      <c r="I64" s="127">
        <v>2296665.2200000002</v>
      </c>
      <c r="J64" s="127">
        <f>2294971.06+654254.82+285686.41+1683981.28+1046280.22+1000144.67+1479284.5+2333494.58+1446171.19+3677651.28+2450050.18+232285.09+1778347.21+2244395.25</f>
        <v>22606997.740000002</v>
      </c>
      <c r="K64" s="127">
        <f>ROUND(F64-J64,2)</f>
        <v>18115340.350000001</v>
      </c>
      <c r="L64" s="135">
        <f>J64/F64</f>
        <v>0.55514979739219583</v>
      </c>
      <c r="M64" s="190">
        <f>36998365.938-654254.82-285686.41-1683981.228-1000144.67-2333494.58-1446171.19-3677651.28-2450050.18-232285.09-1778347.21-2244395.25-2296665.22</f>
        <v>16915238.810000002</v>
      </c>
      <c r="N64" s="136">
        <f>SUM(M64:M64)</f>
        <v>16915238.810000002</v>
      </c>
      <c r="O64" s="131"/>
    </row>
    <row r="65" spans="1:15" s="88" customFormat="1" ht="60" hidden="1" x14ac:dyDescent="0.25">
      <c r="A65" s="91" t="s">
        <v>73</v>
      </c>
      <c r="B65" s="75" t="s">
        <v>55</v>
      </c>
      <c r="C65" s="75" t="s">
        <v>5</v>
      </c>
      <c r="D65" s="75" t="s">
        <v>123</v>
      </c>
      <c r="E65" s="85" t="s">
        <v>96</v>
      </c>
      <c r="F65" s="77">
        <f>21835622.77</f>
        <v>21835622.77</v>
      </c>
      <c r="G65" s="87">
        <v>11</v>
      </c>
      <c r="H65" s="76" t="s">
        <v>272</v>
      </c>
      <c r="I65" s="77">
        <v>1930949.93</v>
      </c>
      <c r="J65" s="77">
        <f>12829324.88+897841.25+1930949.93</f>
        <v>15658116.060000001</v>
      </c>
      <c r="K65" s="77">
        <f t="shared" si="1"/>
        <v>6177506.71</v>
      </c>
      <c r="L65" s="86">
        <f t="shared" si="5"/>
        <v>0.71709042718546656</v>
      </c>
      <c r="M65" s="114"/>
      <c r="N65" s="79">
        <f>SUM(M65:M65)</f>
        <v>0</v>
      </c>
      <c r="O65" s="88">
        <v>25488826.579999998</v>
      </c>
    </row>
    <row r="66" spans="1:15" s="110" customFormat="1" ht="30" hidden="1" x14ac:dyDescent="0.25">
      <c r="A66" s="91" t="s">
        <v>74</v>
      </c>
      <c r="B66" s="75" t="s">
        <v>56</v>
      </c>
      <c r="C66" s="75" t="s">
        <v>30</v>
      </c>
      <c r="D66" s="75" t="s">
        <v>124</v>
      </c>
      <c r="E66" s="85" t="s">
        <v>97</v>
      </c>
      <c r="F66" s="77">
        <v>1098045.8700000001</v>
      </c>
      <c r="G66" s="87">
        <v>3</v>
      </c>
      <c r="H66" s="76" t="s">
        <v>155</v>
      </c>
      <c r="I66" s="77">
        <v>47560.79</v>
      </c>
      <c r="J66" s="77">
        <f>35092.39+73702.08+47560.79</f>
        <v>156355.26</v>
      </c>
      <c r="K66" s="77">
        <f t="shared" si="1"/>
        <v>941690.61</v>
      </c>
      <c r="L66" s="86">
        <f>J66/F66</f>
        <v>0.14239410599486158</v>
      </c>
      <c r="M66" s="114"/>
      <c r="N66" s="79">
        <f>SUM(M66:M66)</f>
        <v>0</v>
      </c>
    </row>
    <row r="67" spans="1:15" s="110" customFormat="1" ht="30" hidden="1" customHeight="1" x14ac:dyDescent="0.25">
      <c r="A67" s="106" t="s">
        <v>273</v>
      </c>
      <c r="B67" s="93" t="s">
        <v>274</v>
      </c>
      <c r="C67" s="93" t="s">
        <v>275</v>
      </c>
      <c r="D67" s="93" t="s">
        <v>135</v>
      </c>
      <c r="E67" s="103" t="s">
        <v>276</v>
      </c>
      <c r="F67" s="104">
        <f>22050000+2430212.27+1683126.53+1049082.43-510831.83-1487230.04-1791407.89+186028.64</f>
        <v>23608980.110000003</v>
      </c>
      <c r="G67" s="101">
        <v>23</v>
      </c>
      <c r="H67" s="76" t="s">
        <v>372</v>
      </c>
      <c r="I67" s="77">
        <v>839461.14</v>
      </c>
      <c r="J67" s="104">
        <f>357210+1231027+1147286+253478.54+1011105.31+1367956.38+187868.93+804572.64+1715324.15+175906.56+1951735.84+1503977.78+1348994.33+1000410.97-94015.32+1229594.15-14342.61+591859.04-11862.54+344585.24+223397.77+514951.61+473719.43+532147.22+1427437.16+1319356.39+1390645.65+839461.14</f>
        <v>22823788.760000002</v>
      </c>
      <c r="K67" s="104">
        <f>ROUND(F67-J67,2)</f>
        <v>785191.35</v>
      </c>
      <c r="L67" s="107">
        <f t="shared" ref="L67" si="24">J67/F67</f>
        <v>0.9667418352532976</v>
      </c>
      <c r="M67" s="115">
        <v>0</v>
      </c>
      <c r="N67" s="104">
        <f>SUM(M67:M67)</f>
        <v>0</v>
      </c>
    </row>
    <row r="68" spans="1:15" s="110" customFormat="1" ht="75" hidden="1" x14ac:dyDescent="0.25">
      <c r="A68" s="91" t="s">
        <v>75</v>
      </c>
      <c r="B68" s="109" t="s">
        <v>177</v>
      </c>
      <c r="C68" s="109" t="s">
        <v>135</v>
      </c>
      <c r="D68" s="109" t="s">
        <v>135</v>
      </c>
      <c r="E68" s="85" t="s">
        <v>178</v>
      </c>
      <c r="F68" s="77">
        <v>755300</v>
      </c>
      <c r="G68" s="87">
        <v>0</v>
      </c>
      <c r="H68" s="76" t="s">
        <v>135</v>
      </c>
      <c r="I68" s="77">
        <v>0</v>
      </c>
      <c r="J68" s="77">
        <v>0</v>
      </c>
      <c r="K68" s="77">
        <f t="shared" si="1"/>
        <v>755300</v>
      </c>
      <c r="L68" s="86">
        <f>J68/F68</f>
        <v>0</v>
      </c>
      <c r="M68" s="114"/>
      <c r="N68" s="79">
        <f>SUM(M68:M68)</f>
        <v>0</v>
      </c>
    </row>
    <row r="69" spans="1:15" s="110" customFormat="1" ht="45" hidden="1" customHeight="1" x14ac:dyDescent="0.25">
      <c r="A69" s="106" t="s">
        <v>76</v>
      </c>
      <c r="B69" s="93" t="s">
        <v>57</v>
      </c>
      <c r="C69" s="93" t="s">
        <v>4</v>
      </c>
      <c r="D69" s="93" t="s">
        <v>125</v>
      </c>
      <c r="E69" s="106" t="s">
        <v>98</v>
      </c>
      <c r="F69" s="105">
        <f>6896125.03+564118.2+316653.35+470787.84</f>
        <v>8247684.4199999999</v>
      </c>
      <c r="G69" s="101">
        <v>20</v>
      </c>
      <c r="H69" s="112" t="s">
        <v>370</v>
      </c>
      <c r="I69" s="113">
        <v>6663.43</v>
      </c>
      <c r="J69" s="105">
        <f>830349.63+703207.16+414533.17+219702.24+553652.85+257917.58+154771.34+91072.88+85495.08+99671.86+13978.29+199705.04+170214.37+231856.43+174912.04+117749.47+6663.43</f>
        <v>4325452.8599999994</v>
      </c>
      <c r="K69" s="105">
        <f>ROUND(F69-J69,2)</f>
        <v>3922231.56</v>
      </c>
      <c r="L69" s="107">
        <f>J69/F69</f>
        <v>0.52444451554318794</v>
      </c>
      <c r="M69" s="114">
        <v>0</v>
      </c>
      <c r="N69" s="105">
        <f>SUM(M69:M69)</f>
        <v>0</v>
      </c>
    </row>
    <row r="70" spans="1:15" s="110" customFormat="1" ht="45" hidden="1" customHeight="1" x14ac:dyDescent="0.25">
      <c r="A70" s="155" t="s">
        <v>162</v>
      </c>
      <c r="B70" s="152" t="s">
        <v>160</v>
      </c>
      <c r="C70" s="152" t="s">
        <v>165</v>
      </c>
      <c r="D70" s="152" t="s">
        <v>172</v>
      </c>
      <c r="E70" s="155" t="s">
        <v>161</v>
      </c>
      <c r="F70" s="150">
        <f>1751901.15+177050.75</f>
        <v>1928951.9</v>
      </c>
      <c r="G70" s="101">
        <v>3</v>
      </c>
      <c r="H70" s="112" t="s">
        <v>271</v>
      </c>
      <c r="I70" s="113">
        <v>524586.43000000005</v>
      </c>
      <c r="J70" s="150">
        <f>588081.3+698693.17+524586.43+106384.86</f>
        <v>1917745.7600000005</v>
      </c>
      <c r="K70" s="150">
        <f>ROUND(F70-J70,2)</f>
        <v>11206.14</v>
      </c>
      <c r="L70" s="159">
        <f>J70/F70</f>
        <v>0.99419055498480835</v>
      </c>
      <c r="M70" s="115"/>
      <c r="N70" s="150">
        <f>SUM(M70:M70)</f>
        <v>0</v>
      </c>
    </row>
    <row r="71" spans="1:15" s="110" customFormat="1" ht="15" hidden="1" customHeight="1" x14ac:dyDescent="0.25">
      <c r="A71" s="156"/>
      <c r="B71" s="153"/>
      <c r="C71" s="153"/>
      <c r="D71" s="153"/>
      <c r="E71" s="156"/>
      <c r="F71" s="151"/>
      <c r="G71" s="101" t="s">
        <v>257</v>
      </c>
      <c r="H71" s="112" t="s">
        <v>270</v>
      </c>
      <c r="I71" s="113">
        <v>106384.86</v>
      </c>
      <c r="J71" s="151"/>
      <c r="K71" s="151"/>
      <c r="L71" s="160"/>
      <c r="M71" s="116"/>
      <c r="N71" s="151">
        <f>SUM(M71:M71)</f>
        <v>0</v>
      </c>
    </row>
    <row r="72" spans="1:15" s="81" customFormat="1" ht="45" x14ac:dyDescent="0.25">
      <c r="A72" s="122" t="s">
        <v>295</v>
      </c>
      <c r="B72" s="130" t="s">
        <v>296</v>
      </c>
      <c r="C72" s="130" t="s">
        <v>297</v>
      </c>
      <c r="D72" s="130"/>
      <c r="E72" s="122" t="s">
        <v>315</v>
      </c>
      <c r="F72" s="129">
        <f>33274141.27+4720104.36+2207900.81</f>
        <v>40202146.440000005</v>
      </c>
      <c r="G72" s="138">
        <v>17</v>
      </c>
      <c r="H72" s="141" t="s">
        <v>373</v>
      </c>
      <c r="I72" s="142">
        <v>1256271.76</v>
      </c>
      <c r="J72" s="129">
        <f>315825.36+1105647.64+857375.45+1175774.28+1213023.31+402374.31+2217818.83+1171759.68+2835069+1673852.06+5980930.32+1348940.92+1245444.82+2003032.31+3560321.39+1649372.4+1256271.76</f>
        <v>30012833.840000004</v>
      </c>
      <c r="K72" s="129">
        <f>ROUND(F72-J72,2)</f>
        <v>10189312.6</v>
      </c>
      <c r="L72" s="128">
        <f>J72/F72</f>
        <v>0.74654804525904805</v>
      </c>
      <c r="M72" s="139">
        <f>33316681.57-402374.31-1171759.68-2835069-1673852.06-5980930.32-4827464.93-1348940.92-1245444.82-2003032.31-3560321.39-1649372.4-1256271.76</f>
        <v>5361847.6700000018</v>
      </c>
      <c r="N72" s="129">
        <f>SUM(M72:M72)</f>
        <v>5361847.6700000018</v>
      </c>
    </row>
    <row r="73" spans="1:15" s="100" customFormat="1" ht="29.25" customHeight="1" x14ac:dyDescent="0.25">
      <c r="A73" s="154" t="s">
        <v>29</v>
      </c>
      <c r="B73" s="154"/>
      <c r="C73" s="154"/>
      <c r="D73" s="154"/>
      <c r="E73" s="154"/>
      <c r="F73" s="97">
        <f>SUM(F6:F72)</f>
        <v>1016808152.01799</v>
      </c>
      <c r="G73" s="98"/>
      <c r="H73" s="98"/>
      <c r="I73" s="97">
        <f>SUM(I6:I72)</f>
        <v>38320136.230000004</v>
      </c>
      <c r="J73" s="97">
        <f>SUM(J6:J72)</f>
        <v>705539018.43709993</v>
      </c>
      <c r="K73" s="97">
        <f>SUM(K6:K72)</f>
        <v>311269133.58000004</v>
      </c>
      <c r="L73" s="99"/>
      <c r="M73" s="80">
        <f t="shared" ref="M73" si="25">SUM(M6:M72)</f>
        <v>188898343.77999997</v>
      </c>
      <c r="N73" s="80">
        <f>SUM(N6:N72)</f>
        <v>188898343.77999997</v>
      </c>
    </row>
    <row r="74" spans="1:15" x14ac:dyDescent="0.25">
      <c r="E74" s="144"/>
    </row>
    <row r="75" spans="1:15" x14ac:dyDescent="0.25">
      <c r="A75" s="81"/>
      <c r="C75" s="95"/>
      <c r="D75" s="121"/>
      <c r="L75"/>
      <c r="M75" s="90"/>
      <c r="N75" s="2"/>
    </row>
    <row r="76" spans="1:15" x14ac:dyDescent="0.25">
      <c r="A76" s="81"/>
      <c r="C76" s="95"/>
      <c r="E76" s="121"/>
      <c r="H76" s="121"/>
      <c r="I76" s="121"/>
      <c r="J76" s="121"/>
      <c r="L76"/>
      <c r="M76" s="89"/>
      <c r="N76" s="2"/>
    </row>
    <row r="77" spans="1:15" x14ac:dyDescent="0.25">
      <c r="A77" s="121"/>
      <c r="C77" s="95"/>
      <c r="D77" s="121"/>
      <c r="E77" s="121"/>
      <c r="H77" s="121"/>
      <c r="I77" s="121"/>
      <c r="L77"/>
      <c r="M77" s="2"/>
      <c r="N77" s="2"/>
    </row>
    <row r="78" spans="1:15" x14ac:dyDescent="0.25">
      <c r="A78" s="81"/>
      <c r="C78" s="121"/>
      <c r="D78" s="95"/>
      <c r="E78" s="121"/>
      <c r="H78" s="131"/>
      <c r="I78" s="131"/>
      <c r="L78"/>
      <c r="M78" s="89"/>
      <c r="N78" s="2"/>
    </row>
    <row r="79" spans="1:15" x14ac:dyDescent="0.25">
      <c r="A79" s="81"/>
      <c r="F79" s="95"/>
      <c r="L79"/>
      <c r="M79" s="89"/>
      <c r="N79" s="2"/>
    </row>
    <row r="80" spans="1:15" x14ac:dyDescent="0.25">
      <c r="A80" s="81"/>
      <c r="E80" s="95"/>
      <c r="H80" s="121"/>
      <c r="I80" s="121"/>
      <c r="L80"/>
      <c r="M80" s="2"/>
      <c r="N80" s="2"/>
    </row>
    <row r="81" spans="1:14" x14ac:dyDescent="0.25">
      <c r="A81" s="81"/>
      <c r="D81" s="131"/>
      <c r="J81" s="95"/>
      <c r="L81"/>
      <c r="M81" s="2"/>
      <c r="N81" s="2"/>
    </row>
    <row r="82" spans="1:14" x14ac:dyDescent="0.25">
      <c r="A82" s="81"/>
      <c r="L82"/>
      <c r="M82" s="2"/>
      <c r="N82" s="2"/>
    </row>
    <row r="83" spans="1:14" x14ac:dyDescent="0.25">
      <c r="A83" s="81"/>
      <c r="D83" s="95"/>
      <c r="L83"/>
      <c r="M83" s="2"/>
      <c r="N83" s="2"/>
    </row>
    <row r="87" spans="1:14" x14ac:dyDescent="0.25">
      <c r="I87" s="131"/>
    </row>
  </sheetData>
  <mergeCells count="44">
    <mergeCell ref="J70:J71"/>
    <mergeCell ref="B70:B71"/>
    <mergeCell ref="D70:D71"/>
    <mergeCell ref="N70:N71"/>
    <mergeCell ref="C29:C30"/>
    <mergeCell ref="B29:B30"/>
    <mergeCell ref="L29:L30"/>
    <mergeCell ref="K29:K30"/>
    <mergeCell ref="J37:J38"/>
    <mergeCell ref="F29:F30"/>
    <mergeCell ref="J29:J30"/>
    <mergeCell ref="N37:N38"/>
    <mergeCell ref="F70:F71"/>
    <mergeCell ref="E70:E71"/>
    <mergeCell ref="L70:L71"/>
    <mergeCell ref="J1:N4"/>
    <mergeCell ref="A1:I4"/>
    <mergeCell ref="N15:N16"/>
    <mergeCell ref="L15:L16"/>
    <mergeCell ref="K15:K16"/>
    <mergeCell ref="J15:J16"/>
    <mergeCell ref="L37:L38"/>
    <mergeCell ref="K37:K38"/>
    <mergeCell ref="C70:C71"/>
    <mergeCell ref="K70:K71"/>
    <mergeCell ref="D29:D30"/>
    <mergeCell ref="A73:E73"/>
    <mergeCell ref="F15:F16"/>
    <mergeCell ref="E15:E16"/>
    <mergeCell ref="D15:D16"/>
    <mergeCell ref="C15:C16"/>
    <mergeCell ref="B15:B16"/>
    <mergeCell ref="C37:C38"/>
    <mergeCell ref="B37:B38"/>
    <mergeCell ref="A37:A38"/>
    <mergeCell ref="F37:F38"/>
    <mergeCell ref="E37:E38"/>
    <mergeCell ref="D37:D38"/>
    <mergeCell ref="A15:A16"/>
    <mergeCell ref="A29:A30"/>
    <mergeCell ref="A70:A71"/>
    <mergeCell ref="E29:E30"/>
    <mergeCell ref="N29:N30"/>
    <mergeCell ref="M37:M38"/>
  </mergeCells>
  <phoneticPr fontId="10" type="noConversion"/>
  <conditionalFormatting sqref="M45:N45">
    <cfRule type="cellIs" dxfId="0" priority="7" operator="lessThan">
      <formula>0</formula>
    </cfRule>
  </conditionalFormatting>
  <printOptions horizontalCentered="1"/>
  <pageMargins left="0.39370078740157483" right="0.39370078740157483" top="0.98425196850393704" bottom="0.39370078740157483" header="0.31496062992125984" footer="0.19685039370078741"/>
  <pageSetup paperSize="9" scale="57" fitToHeight="0" orientation="landscape" r:id="rId1"/>
  <headerFooter>
    <oddHeader>&amp;C&amp;G</oddHeader>
    <oddFooter>&amp;RREV-1  &amp;P&amp;[/&amp;N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O27"/>
  <sheetViews>
    <sheetView workbookViewId="0">
      <selection activeCell="G8" sqref="G8"/>
    </sheetView>
  </sheetViews>
  <sheetFormatPr defaultRowHeight="15" x14ac:dyDescent="0.25"/>
  <cols>
    <col min="4" max="4" width="19" customWidth="1"/>
    <col min="7" max="7" width="15.28515625" bestFit="1" customWidth="1"/>
    <col min="9" max="9" width="10.140625" bestFit="1" customWidth="1"/>
    <col min="10" max="10" width="12.7109375" bestFit="1" customWidth="1"/>
    <col min="11" max="11" width="11" bestFit="1" customWidth="1"/>
    <col min="13" max="13" width="14.5703125" bestFit="1" customWidth="1"/>
    <col min="15" max="15" width="15.7109375" bestFit="1" customWidth="1"/>
  </cols>
  <sheetData>
    <row r="5" spans="4:15" x14ac:dyDescent="0.25">
      <c r="D5" s="1">
        <v>1587438.2800000014</v>
      </c>
      <c r="M5" t="s">
        <v>293</v>
      </c>
      <c r="O5" t="s">
        <v>293</v>
      </c>
    </row>
    <row r="6" spans="4:15" x14ac:dyDescent="0.25">
      <c r="D6" s="1">
        <v>5361847.67</v>
      </c>
      <c r="G6" s="120">
        <v>29542272.18</v>
      </c>
      <c r="M6" t="s">
        <v>14</v>
      </c>
      <c r="O6" t="s">
        <v>13</v>
      </c>
    </row>
    <row r="7" spans="4:15" ht="15.75" x14ac:dyDescent="0.25">
      <c r="D7" s="1">
        <f>D6-D5</f>
        <v>3774409.3899999987</v>
      </c>
      <c r="G7" s="1">
        <f>G6+D7</f>
        <v>33316681.57</v>
      </c>
      <c r="I7" s="1"/>
      <c r="J7" s="1"/>
      <c r="M7" s="94">
        <v>2549668.5499999952</v>
      </c>
      <c r="O7" s="94">
        <v>22570033.530000001</v>
      </c>
    </row>
    <row r="8" spans="4:15" ht="15.75" x14ac:dyDescent="0.25">
      <c r="D8" s="1"/>
      <c r="G8" s="1">
        <v>33316681.57</v>
      </c>
      <c r="J8" s="1"/>
      <c r="M8" s="94">
        <v>361205.68</v>
      </c>
      <c r="O8" s="94">
        <v>18358766.059999999</v>
      </c>
    </row>
    <row r="9" spans="4:15" ht="15.75" x14ac:dyDescent="0.25">
      <c r="D9" s="1"/>
      <c r="G9" s="1"/>
      <c r="I9" s="1"/>
      <c r="M9" s="94">
        <f>M7-M8</f>
        <v>2188462.869999995</v>
      </c>
      <c r="O9" s="94">
        <f>O7-O8</f>
        <v>4211267.4700000025</v>
      </c>
    </row>
    <row r="10" spans="4:15" x14ac:dyDescent="0.25">
      <c r="G10" s="1"/>
      <c r="H10" s="1"/>
    </row>
    <row r="11" spans="4:15" x14ac:dyDescent="0.25">
      <c r="D11" s="1"/>
      <c r="G11" s="1"/>
      <c r="M11">
        <v>2188462.8699999899</v>
      </c>
    </row>
    <row r="12" spans="4:15" x14ac:dyDescent="0.25">
      <c r="D12" s="1"/>
      <c r="J12" s="1"/>
    </row>
    <row r="13" spans="4:15" x14ac:dyDescent="0.25">
      <c r="F13" s="92" t="s">
        <v>314</v>
      </c>
      <c r="G13" s="140">
        <f>3259764.69</f>
        <v>3259764.69</v>
      </c>
      <c r="J13" s="1"/>
    </row>
    <row r="14" spans="4:15" x14ac:dyDescent="0.25">
      <c r="D14" s="1"/>
      <c r="G14" s="1"/>
    </row>
    <row r="15" spans="4:15" x14ac:dyDescent="0.25">
      <c r="J15" s="108">
        <v>3737978.9</v>
      </c>
    </row>
    <row r="16" spans="4:15" x14ac:dyDescent="0.25">
      <c r="J16">
        <v>2035716.94</v>
      </c>
    </row>
    <row r="17" spans="7:10" x14ac:dyDescent="0.25">
      <c r="G17" s="1"/>
      <c r="J17" s="1">
        <v>1702261.96</v>
      </c>
    </row>
    <row r="18" spans="7:10" x14ac:dyDescent="0.25">
      <c r="J18" s="1"/>
    </row>
    <row r="21" spans="7:10" x14ac:dyDescent="0.25">
      <c r="J21" s="1"/>
    </row>
    <row r="25" spans="7:10" x14ac:dyDescent="0.25">
      <c r="J25" s="1"/>
    </row>
    <row r="27" spans="7:10" x14ac:dyDescent="0.25">
      <c r="J27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/>
  </sheetViews>
  <sheetFormatPr defaultRowHeight="15" x14ac:dyDescent="0.25"/>
  <cols>
    <col min="1" max="1" width="13" customWidth="1"/>
    <col min="2" max="2" width="15.42578125" bestFit="1" customWidth="1"/>
    <col min="3" max="3" width="18" customWidth="1"/>
    <col min="4" max="4" width="12.7109375" customWidth="1"/>
    <col min="5" max="5" width="10.85546875" customWidth="1"/>
    <col min="6" max="6" width="16.5703125" customWidth="1"/>
    <col min="7" max="7" width="19" customWidth="1"/>
    <col min="8" max="8" width="18.85546875" customWidth="1"/>
    <col min="9" max="9" width="67.42578125" customWidth="1"/>
  </cols>
  <sheetData>
    <row r="1" spans="1:12" ht="15.75" x14ac:dyDescent="0.25">
      <c r="A1" s="4"/>
      <c r="C1" s="173" t="s">
        <v>191</v>
      </c>
      <c r="D1" s="173"/>
      <c r="E1" s="173"/>
      <c r="F1" s="173"/>
    </row>
    <row r="2" spans="1:12" ht="15.75" x14ac:dyDescent="0.25">
      <c r="A2" s="4"/>
      <c r="C2" s="5" t="s">
        <v>192</v>
      </c>
      <c r="D2" s="5"/>
      <c r="E2" s="5"/>
      <c r="F2" s="5"/>
      <c r="G2" s="5"/>
    </row>
    <row r="3" spans="1:12" ht="15.75" x14ac:dyDescent="0.25">
      <c r="A3" s="6"/>
      <c r="C3" s="173" t="s">
        <v>193</v>
      </c>
      <c r="D3" s="173"/>
      <c r="E3" s="7"/>
      <c r="F3" s="173" t="s">
        <v>194</v>
      </c>
      <c r="G3" s="173"/>
    </row>
    <row r="4" spans="1:12" x14ac:dyDescent="0.25">
      <c r="A4" s="6"/>
      <c r="C4" s="174" t="s">
        <v>195</v>
      </c>
      <c r="D4" s="174"/>
      <c r="E4" s="174"/>
      <c r="F4" s="174"/>
    </row>
    <row r="5" spans="1:12" x14ac:dyDescent="0.25">
      <c r="A5" s="6"/>
      <c r="I5" s="8"/>
    </row>
    <row r="6" spans="1:12" ht="19.5" customHeight="1" x14ac:dyDescent="0.25">
      <c r="A6" s="9" t="s">
        <v>196</v>
      </c>
      <c r="B6" s="10"/>
      <c r="C6" s="10"/>
      <c r="D6" s="4"/>
      <c r="E6" s="11" t="s">
        <v>197</v>
      </c>
      <c r="F6" s="10"/>
      <c r="G6" s="4"/>
      <c r="H6" s="172" t="s">
        <v>198</v>
      </c>
      <c r="I6" s="172"/>
    </row>
    <row r="7" spans="1:12" ht="29.25" customHeight="1" x14ac:dyDescent="0.25">
      <c r="A7" s="11" t="s">
        <v>199</v>
      </c>
      <c r="B7" s="4"/>
      <c r="C7" s="5"/>
      <c r="D7" s="4"/>
      <c r="E7" s="172" t="s">
        <v>200</v>
      </c>
      <c r="F7" s="172"/>
      <c r="G7" s="172"/>
      <c r="H7" s="172"/>
      <c r="I7" s="172"/>
    </row>
    <row r="8" spans="1:12" ht="15.75" x14ac:dyDescent="0.25">
      <c r="A8" s="12" t="s">
        <v>201</v>
      </c>
      <c r="B8" s="13"/>
      <c r="C8" s="14"/>
      <c r="D8" s="4"/>
      <c r="E8" s="14" t="s">
        <v>202</v>
      </c>
      <c r="F8" s="14"/>
      <c r="G8" s="4"/>
      <c r="H8" s="5" t="s">
        <v>203</v>
      </c>
      <c r="I8" s="4"/>
    </row>
    <row r="9" spans="1:12" ht="15.75" thickBot="1" x14ac:dyDescent="0.3">
      <c r="A9" s="15" t="s">
        <v>204</v>
      </c>
      <c r="B9" s="16">
        <v>3327070.6</v>
      </c>
      <c r="C9" s="3"/>
      <c r="D9" s="3"/>
      <c r="E9" s="17" t="s">
        <v>205</v>
      </c>
      <c r="F9" s="15"/>
      <c r="G9" s="17"/>
      <c r="H9" s="3" t="s">
        <v>206</v>
      </c>
      <c r="I9" s="3"/>
    </row>
    <row r="10" spans="1:12" ht="15.75" thickBot="1" x14ac:dyDescent="0.3">
      <c r="A10" s="165" t="s">
        <v>207</v>
      </c>
      <c r="B10" s="166"/>
      <c r="C10" s="167"/>
      <c r="D10" s="165" t="s">
        <v>208</v>
      </c>
      <c r="E10" s="166"/>
      <c r="F10" s="167"/>
      <c r="G10" s="168" t="s">
        <v>209</v>
      </c>
      <c r="H10" s="170" t="s">
        <v>210</v>
      </c>
      <c r="I10" s="170" t="s">
        <v>211</v>
      </c>
    </row>
    <row r="11" spans="1:12" ht="15.75" thickBot="1" x14ac:dyDescent="0.3">
      <c r="A11" s="18" t="s">
        <v>212</v>
      </c>
      <c r="B11" s="19" t="s">
        <v>213</v>
      </c>
      <c r="C11" s="20" t="s">
        <v>214</v>
      </c>
      <c r="D11" s="19" t="s">
        <v>212</v>
      </c>
      <c r="E11" s="19" t="s">
        <v>213</v>
      </c>
      <c r="F11" s="20" t="s">
        <v>214</v>
      </c>
      <c r="G11" s="169"/>
      <c r="H11" s="171"/>
      <c r="I11" s="171"/>
    </row>
    <row r="12" spans="1:12" ht="24.75" customHeight="1" thickBot="1" x14ac:dyDescent="0.3">
      <c r="A12" s="21">
        <v>43901</v>
      </c>
      <c r="B12" s="19" t="s">
        <v>215</v>
      </c>
      <c r="C12" s="22">
        <v>13858099.15</v>
      </c>
      <c r="D12" s="23">
        <v>44057</v>
      </c>
      <c r="E12" s="19">
        <v>422</v>
      </c>
      <c r="F12" s="22">
        <v>173930.7</v>
      </c>
      <c r="G12" s="24">
        <f>C22-F12</f>
        <v>17822265.970000003</v>
      </c>
      <c r="H12" s="25">
        <f>14702968.24-F12</f>
        <v>14529037.540000001</v>
      </c>
      <c r="I12" s="26" t="s">
        <v>216</v>
      </c>
      <c r="L12" s="8"/>
    </row>
    <row r="13" spans="1:12" ht="21" customHeight="1" thickBot="1" x14ac:dyDescent="0.3">
      <c r="A13" s="21">
        <v>43966</v>
      </c>
      <c r="B13" s="19" t="s">
        <v>217</v>
      </c>
      <c r="C13" s="22">
        <v>-7031191</v>
      </c>
      <c r="D13" s="27">
        <v>44098</v>
      </c>
      <c r="E13" s="19">
        <v>428</v>
      </c>
      <c r="F13" s="22">
        <v>1268406.1599999999</v>
      </c>
      <c r="G13" s="24">
        <f t="shared" ref="G13:G18" si="0">G12-F13</f>
        <v>16553859.810000002</v>
      </c>
      <c r="H13" s="24">
        <f t="shared" ref="H13:H18" si="1">H12-F13</f>
        <v>13260631.380000001</v>
      </c>
      <c r="I13" s="19" t="s">
        <v>218</v>
      </c>
      <c r="L13" s="8"/>
    </row>
    <row r="14" spans="1:12" ht="21" customHeight="1" thickBot="1" x14ac:dyDescent="0.3">
      <c r="A14" s="28">
        <v>44216</v>
      </c>
      <c r="B14" s="19" t="s">
        <v>219</v>
      </c>
      <c r="C14" s="22">
        <v>-33842.17</v>
      </c>
      <c r="D14" s="27">
        <v>44127</v>
      </c>
      <c r="E14" s="19">
        <v>433</v>
      </c>
      <c r="F14" s="22">
        <v>1514416.2</v>
      </c>
      <c r="G14" s="24">
        <f t="shared" si="0"/>
        <v>15039443.610000003</v>
      </c>
      <c r="H14" s="24">
        <f t="shared" si="1"/>
        <v>11746215.180000002</v>
      </c>
      <c r="I14" s="19" t="s">
        <v>220</v>
      </c>
      <c r="L14" s="8"/>
    </row>
    <row r="15" spans="1:12" ht="21" customHeight="1" thickBot="1" x14ac:dyDescent="0.3">
      <c r="A15" s="29">
        <v>44200</v>
      </c>
      <c r="B15" s="19" t="s">
        <v>221</v>
      </c>
      <c r="C15" s="22">
        <v>7876060.0899999999</v>
      </c>
      <c r="D15" s="27">
        <v>44154</v>
      </c>
      <c r="E15" s="19">
        <v>439</v>
      </c>
      <c r="F15" s="22">
        <v>1357652.28</v>
      </c>
      <c r="G15" s="24">
        <f t="shared" si="0"/>
        <v>13681791.330000004</v>
      </c>
      <c r="H15" s="24">
        <f t="shared" si="1"/>
        <v>10388562.900000002</v>
      </c>
      <c r="I15" s="19" t="s">
        <v>222</v>
      </c>
      <c r="L15" s="8"/>
    </row>
    <row r="16" spans="1:12" ht="21" customHeight="1" thickBot="1" x14ac:dyDescent="0.3">
      <c r="A16" s="29">
        <v>44414</v>
      </c>
      <c r="B16" s="19" t="s">
        <v>223</v>
      </c>
      <c r="C16" s="22">
        <v>-644870.52</v>
      </c>
      <c r="D16" s="27">
        <v>44179</v>
      </c>
      <c r="E16" s="19">
        <v>454</v>
      </c>
      <c r="F16" s="22">
        <v>1433204.06</v>
      </c>
      <c r="G16" s="24">
        <f t="shared" si="0"/>
        <v>12248587.270000003</v>
      </c>
      <c r="H16" s="24">
        <f t="shared" si="1"/>
        <v>8955358.8400000017</v>
      </c>
      <c r="I16" s="19" t="s">
        <v>224</v>
      </c>
      <c r="L16" s="8"/>
    </row>
    <row r="17" spans="1:12" ht="21" customHeight="1" thickBot="1" x14ac:dyDescent="0.3">
      <c r="A17" s="29">
        <v>44414</v>
      </c>
      <c r="B17" s="19" t="s">
        <v>225</v>
      </c>
      <c r="C17" s="22">
        <v>644870.52</v>
      </c>
      <c r="D17" s="27">
        <v>44214</v>
      </c>
      <c r="E17" s="19">
        <v>459</v>
      </c>
      <c r="F17" s="22">
        <v>1045456.58</v>
      </c>
      <c r="G17" s="24">
        <f t="shared" si="0"/>
        <v>11203130.690000003</v>
      </c>
      <c r="H17" s="24">
        <f t="shared" si="1"/>
        <v>7909902.2600000016</v>
      </c>
      <c r="I17" s="19" t="s">
        <v>226</v>
      </c>
      <c r="L17" s="8"/>
    </row>
    <row r="18" spans="1:12" ht="20.25" customHeight="1" thickBot="1" x14ac:dyDescent="0.3">
      <c r="A18" s="28">
        <v>44414</v>
      </c>
      <c r="B18" s="30" t="s">
        <v>227</v>
      </c>
      <c r="C18" s="31">
        <v>818124.56</v>
      </c>
      <c r="D18" s="23">
        <v>44264</v>
      </c>
      <c r="E18" s="32">
        <v>462</v>
      </c>
      <c r="F18" s="33">
        <v>1808336.15</v>
      </c>
      <c r="G18" s="34">
        <f t="shared" si="0"/>
        <v>9394794.5400000028</v>
      </c>
      <c r="H18" s="34">
        <f t="shared" si="1"/>
        <v>6101566.1100000013</v>
      </c>
      <c r="I18" s="35" t="s">
        <v>228</v>
      </c>
    </row>
    <row r="19" spans="1:12" ht="20.25" customHeight="1" thickBot="1" x14ac:dyDescent="0.3">
      <c r="A19" s="29">
        <v>44414</v>
      </c>
      <c r="B19" s="19" t="s">
        <v>229</v>
      </c>
      <c r="C19" s="22">
        <v>2508946.04</v>
      </c>
      <c r="D19" s="27">
        <v>44375</v>
      </c>
      <c r="E19" s="36">
        <v>485</v>
      </c>
      <c r="F19" s="37">
        <v>1462832.59</v>
      </c>
      <c r="G19" s="38">
        <f>G18-F19</f>
        <v>7931961.950000003</v>
      </c>
      <c r="H19" s="39">
        <f>H18-F19</f>
        <v>4638733.5200000014</v>
      </c>
      <c r="I19" s="35" t="s">
        <v>230</v>
      </c>
    </row>
    <row r="20" spans="1:12" ht="20.25" customHeight="1" thickBot="1" x14ac:dyDescent="0.3">
      <c r="A20" s="28"/>
      <c r="B20" s="19"/>
      <c r="C20" s="22"/>
      <c r="D20" s="40">
        <v>44400</v>
      </c>
      <c r="E20" s="41">
        <v>504</v>
      </c>
      <c r="F20" s="42">
        <v>644870.52</v>
      </c>
      <c r="G20" s="39">
        <f>G19-F20</f>
        <v>7287091.4300000034</v>
      </c>
      <c r="H20" s="24">
        <f>H19-F20</f>
        <v>3993863.0000000014</v>
      </c>
      <c r="I20" s="35" t="s">
        <v>231</v>
      </c>
    </row>
    <row r="21" spans="1:12" ht="20.25" customHeight="1" thickBot="1" x14ac:dyDescent="0.3">
      <c r="A21" s="28"/>
      <c r="B21" s="19"/>
      <c r="C21" s="43"/>
      <c r="D21" s="44">
        <v>44435</v>
      </c>
      <c r="E21" s="45">
        <v>513</v>
      </c>
      <c r="F21" s="46">
        <v>799302.04</v>
      </c>
      <c r="G21" s="24">
        <f>G20-F21</f>
        <v>6487789.3900000034</v>
      </c>
      <c r="H21" s="24">
        <f>H20-F21+B9</f>
        <v>6521631.5600000015</v>
      </c>
      <c r="I21" s="35" t="s">
        <v>232</v>
      </c>
    </row>
    <row r="22" spans="1:12" ht="20.25" customHeight="1" thickBot="1" x14ac:dyDescent="0.3">
      <c r="A22" s="47"/>
      <c r="B22" s="48"/>
      <c r="C22" s="31">
        <f>SUM(C12:C19)</f>
        <v>17996196.670000002</v>
      </c>
      <c r="D22" s="28"/>
      <c r="E22" s="45"/>
      <c r="F22" s="49">
        <f>SUM(F12:F21)</f>
        <v>11508407.280000001</v>
      </c>
      <c r="G22" s="24"/>
      <c r="H22" s="46"/>
      <c r="I22" s="50"/>
    </row>
    <row r="23" spans="1:12" ht="20.25" customHeight="1" x14ac:dyDescent="0.25">
      <c r="A23" s="51"/>
      <c r="B23" s="52"/>
      <c r="C23" s="53"/>
      <c r="D23" s="51"/>
      <c r="E23" s="52"/>
      <c r="F23" s="53"/>
      <c r="G23" s="53"/>
      <c r="H23" s="53"/>
      <c r="I23" s="54"/>
    </row>
    <row r="24" spans="1:12" ht="23.25" customHeight="1" x14ac:dyDescent="0.25">
      <c r="A24" s="51"/>
      <c r="B24" s="52"/>
      <c r="C24" s="55"/>
      <c r="D24" s="51"/>
      <c r="E24" s="52"/>
      <c r="F24" s="53"/>
      <c r="G24" s="53"/>
      <c r="H24" s="53"/>
      <c r="I24" s="54"/>
    </row>
    <row r="25" spans="1:12" ht="20.25" customHeight="1" x14ac:dyDescent="0.25">
      <c r="A25" s="51"/>
      <c r="B25" s="52"/>
      <c r="C25" s="53"/>
      <c r="D25" s="51"/>
      <c r="E25" s="52"/>
      <c r="F25" s="53"/>
      <c r="G25" s="53"/>
      <c r="H25" s="53"/>
      <c r="I25" s="54"/>
    </row>
    <row r="26" spans="1:12" ht="20.25" customHeight="1" x14ac:dyDescent="0.25">
      <c r="A26" s="51"/>
      <c r="B26" s="52"/>
      <c r="C26" s="53"/>
      <c r="D26" s="51"/>
      <c r="E26" s="52"/>
      <c r="F26" s="53"/>
      <c r="G26" s="53"/>
      <c r="H26" s="53"/>
      <c r="I26" s="54"/>
    </row>
    <row r="27" spans="1:12" ht="21.75" customHeight="1" x14ac:dyDescent="0.25">
      <c r="A27" s="51"/>
      <c r="B27" s="52"/>
      <c r="C27" s="53"/>
      <c r="D27" s="51"/>
      <c r="E27" s="52"/>
      <c r="F27" s="53"/>
      <c r="G27" s="53"/>
      <c r="H27" s="53"/>
      <c r="I27" s="54"/>
    </row>
    <row r="28" spans="1:12" ht="20.25" customHeight="1" x14ac:dyDescent="0.25">
      <c r="A28" s="51"/>
      <c r="B28" s="52"/>
      <c r="C28" s="53"/>
      <c r="D28" s="51"/>
      <c r="E28" s="52"/>
      <c r="F28" s="53"/>
      <c r="G28" s="53"/>
      <c r="H28" s="53"/>
      <c r="I28" s="54"/>
    </row>
    <row r="29" spans="1:12" ht="20.25" customHeight="1" x14ac:dyDescent="0.25">
      <c r="A29" s="51"/>
      <c r="B29" s="52"/>
      <c r="C29" s="53"/>
      <c r="D29" s="51"/>
      <c r="E29" s="52"/>
      <c r="F29" s="53"/>
      <c r="G29" s="53"/>
      <c r="H29" s="53"/>
      <c r="I29" s="54"/>
    </row>
    <row r="30" spans="1:12" ht="20.25" customHeight="1" x14ac:dyDescent="0.25">
      <c r="A30" s="51"/>
      <c r="B30" s="54"/>
      <c r="C30" s="53"/>
      <c r="D30" s="51"/>
      <c r="E30" s="52"/>
      <c r="F30" s="53"/>
      <c r="G30" s="53"/>
      <c r="H30" s="53"/>
      <c r="I30" s="56"/>
    </row>
    <row r="31" spans="1:12" ht="20.25" customHeight="1" x14ac:dyDescent="0.25">
      <c r="A31" s="51"/>
      <c r="B31" s="54"/>
      <c r="C31" s="53"/>
      <c r="D31" s="51"/>
      <c r="E31" s="52"/>
      <c r="F31" s="53"/>
      <c r="G31" s="52"/>
      <c r="H31" s="52"/>
      <c r="I31" s="54"/>
    </row>
    <row r="32" spans="1:12" ht="20.25" customHeight="1" x14ac:dyDescent="0.25">
      <c r="A32" s="51"/>
      <c r="B32" s="52"/>
      <c r="C32" s="53"/>
      <c r="D32" s="51"/>
      <c r="E32" s="52"/>
      <c r="F32" s="53"/>
      <c r="G32" s="53"/>
      <c r="H32" s="53"/>
      <c r="I32" s="56"/>
    </row>
    <row r="33" spans="1:13" ht="20.25" customHeight="1" x14ac:dyDescent="0.25">
      <c r="A33" s="51"/>
      <c r="B33" s="52"/>
      <c r="C33" s="53"/>
      <c r="D33" s="51"/>
      <c r="E33" s="52"/>
      <c r="F33" s="53"/>
      <c r="G33" s="53"/>
      <c r="H33" s="53"/>
      <c r="I33" s="54"/>
    </row>
    <row r="34" spans="1:13" ht="20.25" customHeight="1" x14ac:dyDescent="0.25">
      <c r="A34" s="51"/>
      <c r="B34" s="52"/>
      <c r="C34" s="53"/>
      <c r="D34" s="51"/>
      <c r="E34" s="52"/>
      <c r="F34" s="53"/>
      <c r="G34" s="53"/>
      <c r="H34" s="53"/>
      <c r="I34" s="54"/>
    </row>
    <row r="35" spans="1:13" ht="20.25" customHeight="1" x14ac:dyDescent="0.25">
      <c r="A35" s="51"/>
      <c r="B35" s="52"/>
      <c r="C35" s="53"/>
      <c r="D35" s="51"/>
      <c r="E35" s="52"/>
      <c r="F35" s="53"/>
      <c r="G35" s="53"/>
      <c r="H35" s="53"/>
      <c r="I35" s="54"/>
    </row>
    <row r="36" spans="1:13" ht="20.25" customHeight="1" x14ac:dyDescent="0.25">
      <c r="A36" s="51"/>
      <c r="B36" s="55"/>
      <c r="C36" s="53"/>
      <c r="D36" s="54"/>
      <c r="E36" s="54"/>
      <c r="F36" s="54"/>
      <c r="G36" s="54"/>
      <c r="H36" s="54"/>
      <c r="I36" s="54"/>
      <c r="M36" s="8"/>
    </row>
    <row r="37" spans="1:13" ht="20.25" customHeight="1" x14ac:dyDescent="0.25">
      <c r="A37" s="51"/>
      <c r="B37" s="52"/>
      <c r="C37" s="53"/>
      <c r="D37" s="54"/>
      <c r="E37" s="54"/>
      <c r="F37" s="54"/>
      <c r="G37" s="54"/>
      <c r="H37" s="54"/>
      <c r="I37" s="54"/>
    </row>
    <row r="38" spans="1:13" ht="20.25" customHeight="1" x14ac:dyDescent="0.25">
      <c r="A38" s="54"/>
      <c r="B38" s="54"/>
      <c r="C38" s="53"/>
      <c r="D38" s="54"/>
      <c r="E38" s="54"/>
      <c r="F38" s="54"/>
      <c r="G38" s="54"/>
      <c r="H38" s="54"/>
      <c r="I38" s="54"/>
    </row>
    <row r="39" spans="1:13" ht="20.25" customHeight="1" x14ac:dyDescent="0.25">
      <c r="A39" s="54"/>
      <c r="B39" s="54"/>
      <c r="C39" s="53"/>
      <c r="D39" s="54"/>
      <c r="E39" s="54"/>
      <c r="F39" s="54"/>
      <c r="G39" s="54"/>
      <c r="H39" s="54"/>
      <c r="I39" s="54"/>
    </row>
    <row r="40" spans="1:13" ht="20.25" customHeight="1" x14ac:dyDescent="0.25">
      <c r="A40" s="54"/>
      <c r="B40" s="54"/>
      <c r="C40" s="53"/>
      <c r="D40" s="54"/>
      <c r="E40" s="54"/>
      <c r="F40" s="54"/>
      <c r="G40" s="54"/>
      <c r="H40" s="54"/>
      <c r="I40" s="54"/>
    </row>
    <row r="41" spans="1:13" ht="20.25" customHeight="1" x14ac:dyDescent="0.25">
      <c r="A41" s="54"/>
      <c r="B41" s="54"/>
      <c r="C41" s="53"/>
      <c r="D41" s="54"/>
      <c r="E41" s="54"/>
      <c r="F41" s="54"/>
      <c r="G41" s="54"/>
      <c r="H41" s="54"/>
      <c r="I41" s="54"/>
    </row>
    <row r="42" spans="1:13" ht="20.25" customHeight="1" x14ac:dyDescent="0.25"/>
    <row r="43" spans="1:13" ht="20.25" customHeight="1" x14ac:dyDescent="0.25">
      <c r="A43" s="57"/>
      <c r="B43" s="57"/>
      <c r="C43" s="58"/>
      <c r="D43" s="57"/>
      <c r="E43" s="57"/>
      <c r="F43" s="57"/>
      <c r="G43" s="57"/>
      <c r="H43" s="57"/>
      <c r="I43" s="57"/>
    </row>
    <row r="44" spans="1:13" ht="20.25" customHeight="1" x14ac:dyDescent="0.25"/>
    <row r="45" spans="1:13" ht="20.25" customHeight="1" x14ac:dyDescent="0.25"/>
    <row r="46" spans="1:13" ht="20.25" customHeight="1" x14ac:dyDescent="0.25"/>
    <row r="47" spans="1:13" ht="20.25" customHeight="1" x14ac:dyDescent="0.25"/>
    <row r="48" spans="1:13" ht="20.25" customHeight="1" x14ac:dyDescent="0.25"/>
    <row r="49" ht="20.25" customHeight="1" x14ac:dyDescent="0.25"/>
    <row r="50" ht="20.25" customHeight="1" x14ac:dyDescent="0.25"/>
    <row r="51" ht="20.25" customHeight="1" x14ac:dyDescent="0.25"/>
    <row r="52" ht="20.25" customHeight="1" x14ac:dyDescent="0.25"/>
    <row r="53" ht="20.25" customHeight="1" x14ac:dyDescent="0.25"/>
  </sheetData>
  <mergeCells count="11">
    <mergeCell ref="E7:I7"/>
    <mergeCell ref="C1:F1"/>
    <mergeCell ref="C3:D3"/>
    <mergeCell ref="F3:G3"/>
    <mergeCell ref="C4:F4"/>
    <mergeCell ref="H6:I6"/>
    <mergeCell ref="A10:C10"/>
    <mergeCell ref="D10:F10"/>
    <mergeCell ref="G10:G11"/>
    <mergeCell ref="H10:H11"/>
    <mergeCell ref="I10:I11"/>
  </mergeCells>
  <pageMargins left="0.51181102362204722" right="0.51181102362204722" top="0.78740157480314965" bottom="0.78740157480314965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/>
  </sheetViews>
  <sheetFormatPr defaultRowHeight="15" x14ac:dyDescent="0.25"/>
  <cols>
    <col min="1" max="1" width="14.140625" customWidth="1"/>
    <col min="2" max="2" width="14.7109375" customWidth="1"/>
    <col min="3" max="4" width="17.85546875" customWidth="1"/>
    <col min="5" max="5" width="10.85546875" customWidth="1"/>
    <col min="6" max="6" width="21" customWidth="1"/>
    <col min="7" max="8" width="16.140625" customWidth="1"/>
    <col min="9" max="9" width="39.85546875" customWidth="1"/>
    <col min="13" max="13" width="15.7109375" bestFit="1" customWidth="1"/>
    <col min="14" max="14" width="14.140625" customWidth="1"/>
  </cols>
  <sheetData>
    <row r="1" spans="1:13" ht="15.75" x14ac:dyDescent="0.25">
      <c r="A1" s="4"/>
      <c r="C1" s="186" t="s">
        <v>233</v>
      </c>
      <c r="D1" s="186"/>
      <c r="E1" s="186"/>
      <c r="F1" s="186"/>
    </row>
    <row r="2" spans="1:13" ht="15.75" x14ac:dyDescent="0.25">
      <c r="A2" s="4"/>
      <c r="C2" s="186" t="s">
        <v>234</v>
      </c>
      <c r="D2" s="186"/>
      <c r="E2" s="186"/>
      <c r="F2" s="186"/>
    </row>
    <row r="3" spans="1:13" x14ac:dyDescent="0.25">
      <c r="A3" s="6"/>
      <c r="C3" s="186" t="s">
        <v>235</v>
      </c>
      <c r="D3" s="186"/>
      <c r="E3" s="186"/>
      <c r="F3" s="186"/>
    </row>
    <row r="4" spans="1:13" x14ac:dyDescent="0.25">
      <c r="A4" s="6"/>
      <c r="C4" t="s">
        <v>236</v>
      </c>
    </row>
    <row r="5" spans="1:13" x14ac:dyDescent="0.25">
      <c r="A5" s="6"/>
      <c r="C5" t="s">
        <v>237</v>
      </c>
      <c r="I5" s="8"/>
    </row>
    <row r="6" spans="1:13" x14ac:dyDescent="0.25">
      <c r="A6" s="6" t="s">
        <v>238</v>
      </c>
      <c r="C6" s="3"/>
      <c r="D6" s="3" t="s">
        <v>239</v>
      </c>
      <c r="E6" s="3"/>
      <c r="G6" s="3"/>
      <c r="H6" s="3"/>
    </row>
    <row r="7" spans="1:13" ht="48.75" customHeight="1" x14ac:dyDescent="0.25">
      <c r="A7" s="187" t="s">
        <v>240</v>
      </c>
      <c r="B7" s="187"/>
      <c r="C7" s="59"/>
      <c r="D7" s="177" t="s">
        <v>241</v>
      </c>
      <c r="E7" s="177"/>
      <c r="F7" s="177"/>
      <c r="G7" s="177" t="s">
        <v>242</v>
      </c>
      <c r="H7" s="177"/>
      <c r="I7" s="177"/>
    </row>
    <row r="8" spans="1:13" ht="15" customHeight="1" x14ac:dyDescent="0.25">
      <c r="A8" s="15" t="s">
        <v>243</v>
      </c>
      <c r="B8" s="1"/>
      <c r="C8" s="17"/>
      <c r="D8" s="175" t="s">
        <v>244</v>
      </c>
      <c r="E8" s="175"/>
      <c r="F8" s="175"/>
      <c r="G8" s="177" t="s">
        <v>245</v>
      </c>
      <c r="H8" s="177"/>
      <c r="I8" s="60"/>
    </row>
    <row r="9" spans="1:13" s="62" customFormat="1" ht="21.75" customHeight="1" x14ac:dyDescent="0.25">
      <c r="A9" s="61" t="s">
        <v>246</v>
      </c>
      <c r="B9" s="61"/>
      <c r="D9" s="175" t="s">
        <v>247</v>
      </c>
      <c r="E9" s="185"/>
      <c r="F9" s="185"/>
      <c r="G9" s="177" t="s">
        <v>248</v>
      </c>
      <c r="H9" s="177"/>
      <c r="I9" s="63"/>
    </row>
    <row r="10" spans="1:13" ht="15" customHeight="1" x14ac:dyDescent="0.25">
      <c r="A10" s="15"/>
      <c r="B10" s="1"/>
      <c r="C10" s="17"/>
      <c r="D10" s="174" t="s">
        <v>249</v>
      </c>
      <c r="E10" s="174"/>
      <c r="F10" s="174"/>
      <c r="G10" s="177"/>
      <c r="H10" s="177"/>
      <c r="I10" s="17"/>
    </row>
    <row r="11" spans="1:13" ht="15.75" thickBot="1" x14ac:dyDescent="0.3">
      <c r="A11" s="15"/>
      <c r="B11" s="1"/>
      <c r="C11" s="17"/>
      <c r="D11" s="17"/>
      <c r="E11" s="17"/>
      <c r="F11" s="17"/>
      <c r="G11" s="177"/>
      <c r="H11" s="177"/>
    </row>
    <row r="12" spans="1:13" ht="15.75" thickBot="1" x14ac:dyDescent="0.3">
      <c r="A12" s="178" t="s">
        <v>207</v>
      </c>
      <c r="B12" s="179"/>
      <c r="C12" s="180"/>
      <c r="D12" s="178" t="s">
        <v>208</v>
      </c>
      <c r="E12" s="179"/>
      <c r="F12" s="180"/>
      <c r="G12" s="181" t="s">
        <v>209</v>
      </c>
      <c r="H12" s="183" t="s">
        <v>210</v>
      </c>
      <c r="I12" s="183" t="s">
        <v>250</v>
      </c>
    </row>
    <row r="13" spans="1:13" ht="15.75" thickBot="1" x14ac:dyDescent="0.3">
      <c r="A13" s="64" t="s">
        <v>212</v>
      </c>
      <c r="B13" s="65" t="s">
        <v>213</v>
      </c>
      <c r="C13" s="66" t="s">
        <v>214</v>
      </c>
      <c r="D13" s="65" t="s">
        <v>212</v>
      </c>
      <c r="E13" s="65" t="s">
        <v>251</v>
      </c>
      <c r="F13" s="66" t="s">
        <v>214</v>
      </c>
      <c r="G13" s="182"/>
      <c r="H13" s="184"/>
      <c r="I13" s="184"/>
    </row>
    <row r="14" spans="1:13" ht="17.25" customHeight="1" thickBot="1" x14ac:dyDescent="0.3">
      <c r="A14" s="67">
        <v>43690</v>
      </c>
      <c r="B14" s="65" t="s">
        <v>252</v>
      </c>
      <c r="C14" s="68">
        <v>901600</v>
      </c>
      <c r="D14" s="69">
        <v>43815</v>
      </c>
      <c r="E14" s="65">
        <v>1022</v>
      </c>
      <c r="F14" s="68">
        <v>209580</v>
      </c>
      <c r="G14" s="70">
        <f>C21</f>
        <v>901600</v>
      </c>
      <c r="H14" s="71">
        <f>901600</f>
        <v>901600</v>
      </c>
      <c r="I14" s="69" t="s">
        <v>253</v>
      </c>
      <c r="M14" s="8"/>
    </row>
    <row r="15" spans="1:13" ht="19.5" customHeight="1" thickBot="1" x14ac:dyDescent="0.3">
      <c r="A15" s="67">
        <v>43908</v>
      </c>
      <c r="B15" s="65" t="s">
        <v>254</v>
      </c>
      <c r="C15" s="68">
        <v>-203000</v>
      </c>
      <c r="D15" s="69">
        <v>43818</v>
      </c>
      <c r="E15" s="65">
        <v>1040</v>
      </c>
      <c r="F15" s="68">
        <v>209580</v>
      </c>
      <c r="G15" s="70">
        <f t="shared" ref="G15:G20" si="0">G14-F15</f>
        <v>692020</v>
      </c>
      <c r="H15" s="70">
        <f t="shared" ref="H15:H20" si="1">H14-F15</f>
        <v>692020</v>
      </c>
      <c r="I15" s="65" t="s">
        <v>255</v>
      </c>
      <c r="M15" s="8"/>
    </row>
    <row r="16" spans="1:13" ht="21" customHeight="1" thickBot="1" x14ac:dyDescent="0.3">
      <c r="A16" s="67">
        <v>43910</v>
      </c>
      <c r="B16" s="65" t="s">
        <v>256</v>
      </c>
      <c r="C16" s="68">
        <v>203000</v>
      </c>
      <c r="D16" s="69">
        <v>43845</v>
      </c>
      <c r="E16" s="65">
        <v>1068</v>
      </c>
      <c r="F16" s="68">
        <v>279440</v>
      </c>
      <c r="G16" s="70">
        <f t="shared" si="0"/>
        <v>412580</v>
      </c>
      <c r="H16" s="70">
        <f t="shared" si="1"/>
        <v>412580</v>
      </c>
      <c r="I16" s="65"/>
    </row>
    <row r="17" spans="1:14" ht="21" customHeight="1" thickBot="1" x14ac:dyDescent="0.3">
      <c r="A17" s="67"/>
      <c r="B17" s="65"/>
      <c r="C17" s="68"/>
      <c r="D17" s="69">
        <v>43900</v>
      </c>
      <c r="E17" s="65">
        <v>2033</v>
      </c>
      <c r="F17" s="68">
        <v>209580</v>
      </c>
      <c r="G17" s="70">
        <f t="shared" si="0"/>
        <v>203000</v>
      </c>
      <c r="H17" s="70">
        <f t="shared" si="1"/>
        <v>203000</v>
      </c>
      <c r="I17" s="65"/>
    </row>
    <row r="18" spans="1:14" ht="21" customHeight="1" thickBot="1" x14ac:dyDescent="0.3">
      <c r="A18" s="67"/>
      <c r="B18" s="65"/>
      <c r="C18" s="68"/>
      <c r="D18" s="69">
        <v>44180</v>
      </c>
      <c r="E18" s="65">
        <v>2181</v>
      </c>
      <c r="F18" s="68">
        <v>60900</v>
      </c>
      <c r="G18" s="70">
        <f t="shared" si="0"/>
        <v>142100</v>
      </c>
      <c r="H18" s="70">
        <f t="shared" si="1"/>
        <v>142100</v>
      </c>
      <c r="I18" s="65"/>
    </row>
    <row r="19" spans="1:14" ht="21" customHeight="1" thickBot="1" x14ac:dyDescent="0.3">
      <c r="A19" s="67"/>
      <c r="B19" s="65"/>
      <c r="C19" s="68"/>
      <c r="D19" s="69">
        <v>44439</v>
      </c>
      <c r="E19" s="65">
        <v>2123</v>
      </c>
      <c r="F19" s="68">
        <v>81200</v>
      </c>
      <c r="G19" s="70">
        <f t="shared" si="0"/>
        <v>60900</v>
      </c>
      <c r="H19" s="70">
        <f t="shared" si="1"/>
        <v>60900</v>
      </c>
      <c r="I19" s="65"/>
    </row>
    <row r="20" spans="1:14" ht="21" customHeight="1" thickBot="1" x14ac:dyDescent="0.3">
      <c r="A20" s="67"/>
      <c r="B20" s="65"/>
      <c r="C20" s="68"/>
      <c r="D20" s="69">
        <v>44439</v>
      </c>
      <c r="E20" s="65">
        <v>2124</v>
      </c>
      <c r="F20" s="68">
        <v>60900</v>
      </c>
      <c r="G20" s="70">
        <f t="shared" si="0"/>
        <v>0</v>
      </c>
      <c r="H20" s="70">
        <f t="shared" si="1"/>
        <v>0</v>
      </c>
      <c r="I20" s="65"/>
    </row>
    <row r="21" spans="1:14" ht="20.25" customHeight="1" thickBot="1" x14ac:dyDescent="0.3">
      <c r="A21" s="67"/>
      <c r="B21" s="65"/>
      <c r="C21" s="68">
        <f>SUM(C14:C20)</f>
        <v>901600</v>
      </c>
      <c r="D21" s="69"/>
      <c r="E21" s="65"/>
      <c r="F21" s="68">
        <f>SUM(F15:F20)</f>
        <v>901600</v>
      </c>
      <c r="G21" s="70"/>
      <c r="H21" s="70"/>
      <c r="I21" s="65"/>
    </row>
    <row r="22" spans="1:14" ht="20.25" customHeight="1" x14ac:dyDescent="0.25"/>
    <row r="23" spans="1:14" ht="20.25" customHeight="1" x14ac:dyDescent="0.25">
      <c r="D23" s="175"/>
      <c r="E23" s="175"/>
      <c r="F23" s="175"/>
      <c r="M23" s="73"/>
      <c r="N23" s="72"/>
    </row>
    <row r="24" spans="1:14" ht="20.25" customHeight="1" x14ac:dyDescent="0.25">
      <c r="D24" s="176"/>
      <c r="E24" s="174"/>
      <c r="F24" s="174"/>
      <c r="M24" s="74"/>
      <c r="N24" s="72"/>
    </row>
    <row r="25" spans="1:14" x14ac:dyDescent="0.25">
      <c r="D25" s="174"/>
      <c r="E25" s="174"/>
      <c r="F25" s="174"/>
      <c r="M25" s="74"/>
    </row>
  </sheetData>
  <mergeCells count="21">
    <mergeCell ref="G7:I7"/>
    <mergeCell ref="C1:F1"/>
    <mergeCell ref="C2:F2"/>
    <mergeCell ref="C3:F3"/>
    <mergeCell ref="A7:B7"/>
    <mergeCell ref="D7:F7"/>
    <mergeCell ref="I12:I13"/>
    <mergeCell ref="D8:F8"/>
    <mergeCell ref="G8:H8"/>
    <mergeCell ref="D9:F9"/>
    <mergeCell ref="G9:H9"/>
    <mergeCell ref="D10:F10"/>
    <mergeCell ref="G10:H10"/>
    <mergeCell ref="D23:F23"/>
    <mergeCell ref="D24:F24"/>
    <mergeCell ref="D25:F25"/>
    <mergeCell ref="G11:H11"/>
    <mergeCell ref="A12:C12"/>
    <mergeCell ref="D12:F12"/>
    <mergeCell ref="G12:G13"/>
    <mergeCell ref="H12:H13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CONTROLE</vt:lpstr>
      <vt:lpstr>Planilha1</vt:lpstr>
      <vt:lpstr>ADM 16005.2019 - OUROMAR</vt:lpstr>
      <vt:lpstr>ADM 20054.2019 - ETE'S</vt:lpstr>
      <vt:lpstr>'ADM 20054.2019 - ETE''S'!Area_de_impressao</vt:lpstr>
      <vt:lpstr>CONTROLE!Area_de_impressao</vt:lpstr>
      <vt:lpstr>CONTROLE!Titulos_de_impressao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Jorge dos Santos Paz</dc:creator>
  <cp:lastModifiedBy>Thiago Augusto Melo Pereira</cp:lastModifiedBy>
  <cp:lastPrinted>2024-05-10T17:08:48Z</cp:lastPrinted>
  <dcterms:created xsi:type="dcterms:W3CDTF">2021-01-04T17:03:28Z</dcterms:created>
  <dcterms:modified xsi:type="dcterms:W3CDTF">2024-05-10T17:08:54Z</dcterms:modified>
</cp:coreProperties>
</file>